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mc:Choice Requires="x15">
      <x15ac:absPath xmlns:x15ac="http://schemas.microsoft.com/office/spreadsheetml/2010/11/ac" url="\\fileserver.lan.bnm.md\file_server\GROUP\RAPS\DSMF\CFBS\organizatoric\2025\publicare februarie_2026\WEB\Pentru site final\FA\"/>
    </mc:Choice>
  </mc:AlternateContent>
  <xr:revisionPtr revIDLastSave="0" documentId="13_ncr:1_{3FAD2106-7909-4EC3-9DD4-7781CA6EF253}" xr6:coauthVersionLast="47" xr6:coauthVersionMax="47" xr10:uidLastSave="{00000000-0000-0000-0000-000000000000}"/>
  <bookViews>
    <workbookView xWindow="-120" yWindow="-120" windowWidth="38640" windowHeight="21120" xr2:uid="{2B1B9E5A-00DD-4B7B-9230-210657FE1903}"/>
  </bookViews>
  <sheets>
    <sheet name="Coperta" sheetId="4" r:id="rId1"/>
    <sheet name="nota explicativă" sheetId="11" r:id="rId2"/>
    <sheet name="matricele" sheetId="9" r:id="rId3"/>
    <sheet name="seriile dinamice active" sheetId="7" r:id="rId4"/>
    <sheet name="seriile dinamice pasive " sheetId="8" r:id="rId5"/>
    <sheet name="index list" sheetId="10" state="hidden" r:id="rId6"/>
  </sheets>
  <definedNames>
    <definedName name="tr.III_2025">'index list'!$A$24</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12" i="7" l="1"/>
  <c r="AB310" i="7" s="1"/>
  <c r="AB110" i="8"/>
  <c r="AB43" i="8"/>
  <c r="AB41" i="8" s="1"/>
  <c r="AA224" i="8"/>
  <c r="AA222" i="8" s="1"/>
  <c r="AA256" i="7"/>
  <c r="AA20" i="7"/>
  <c r="AA18" i="7" s="1"/>
  <c r="AB301" i="7"/>
  <c r="AA301" i="7"/>
  <c r="AB279" i="7"/>
  <c r="AA279" i="7"/>
  <c r="AA277" i="7" s="1"/>
  <c r="AB212" i="8"/>
  <c r="AB256" i="7"/>
  <c r="AB234" i="7"/>
  <c r="AA234" i="7"/>
  <c r="AB189" i="8"/>
  <c r="AB167" i="8"/>
  <c r="AB211" i="7"/>
  <c r="AB189" i="7"/>
  <c r="AA166" i="7"/>
  <c r="AB155" i="7"/>
  <c r="AB153" i="7" s="1"/>
  <c r="AB88" i="8"/>
  <c r="AB86" i="8" s="1"/>
  <c r="AA132" i="7"/>
  <c r="AA130" i="7" s="1"/>
  <c r="AB65" i="8"/>
  <c r="AB87" i="7"/>
  <c r="AB85" i="7" s="1"/>
  <c r="AA20" i="8"/>
  <c r="AA18" i="8" s="1"/>
  <c r="AB201" i="8"/>
  <c r="AB199" i="8" s="1"/>
  <c r="AB178" i="8"/>
  <c r="AB176" i="8" s="1"/>
  <c r="AB155" i="8"/>
  <c r="AB153" i="8" s="1"/>
  <c r="AB144" i="8"/>
  <c r="AB142" i="8" s="1"/>
  <c r="AB133" i="8"/>
  <c r="AB131" i="8" s="1"/>
  <c r="AB99" i="8"/>
  <c r="AB54" i="8"/>
  <c r="AB20" i="8"/>
  <c r="AB18" i="8" s="1"/>
  <c r="AA212" i="8"/>
  <c r="AA210" i="8" s="1"/>
  <c r="AA189" i="8"/>
  <c r="AA167" i="8"/>
  <c r="AA165" i="8" s="1"/>
  <c r="AA144" i="8"/>
  <c r="AA133" i="8"/>
  <c r="AA131" i="8" s="1"/>
  <c r="AA110" i="8"/>
  <c r="AA108" i="8" s="1"/>
  <c r="AA76" i="8"/>
  <c r="AA65" i="8"/>
  <c r="AA43" i="8"/>
  <c r="AA41" i="8" s="1"/>
  <c r="AA9" i="8"/>
  <c r="AA7" i="8" s="1"/>
  <c r="AB290" i="7"/>
  <c r="AB245" i="7"/>
  <c r="AB243" i="7" s="1"/>
  <c r="AB222" i="7"/>
  <c r="AB220" i="7" s="1"/>
  <c r="AB200" i="7"/>
  <c r="AB177" i="7"/>
  <c r="AB166" i="7"/>
  <c r="AB144" i="7"/>
  <c r="AB142" i="7" s="1"/>
  <c r="AB110" i="7"/>
  <c r="AB99" i="7"/>
  <c r="AB97" i="7" s="1"/>
  <c r="AB65" i="7"/>
  <c r="AB54" i="7"/>
  <c r="AB52" i="7" s="1"/>
  <c r="AB42" i="7"/>
  <c r="AB20" i="7"/>
  <c r="AB9" i="7"/>
  <c r="AB7" i="7" s="1"/>
  <c r="AA312" i="7"/>
  <c r="AA310" i="7" s="1"/>
  <c r="AA290" i="7"/>
  <c r="AA288" i="7" s="1"/>
  <c r="AA267" i="7"/>
  <c r="AA245" i="7"/>
  <c r="AA243" i="7" s="1"/>
  <c r="AA211" i="7"/>
  <c r="AA189" i="7"/>
  <c r="AA177" i="7"/>
  <c r="AA175" i="7" s="1"/>
  <c r="AA155" i="7"/>
  <c r="AA144" i="7"/>
  <c r="AA142" i="7" s="1"/>
  <c r="AA121" i="7"/>
  <c r="AA99" i="7"/>
  <c r="AA97" i="7" s="1"/>
  <c r="AA76" i="7"/>
  <c r="AA54" i="7"/>
  <c r="AA52" i="7" s="1"/>
  <c r="AA9" i="7"/>
  <c r="AA7" i="7" s="1"/>
  <c r="AA200" i="7" l="1"/>
  <c r="AA222" i="7"/>
  <c r="AA88" i="8"/>
  <c r="AA86" i="8" s="1"/>
  <c r="AA155" i="8"/>
  <c r="AA178" i="8"/>
  <c r="AA176" i="8" s="1"/>
  <c r="AA201" i="8"/>
  <c r="AA199" i="8" s="1"/>
  <c r="AB224" i="8"/>
  <c r="AB76" i="7"/>
  <c r="AB121" i="7"/>
  <c r="AB267" i="7"/>
  <c r="AA31" i="7"/>
  <c r="AA29" i="7" s="1"/>
  <c r="AA42" i="7"/>
  <c r="AA40" i="7" s="1"/>
  <c r="AA65" i="7"/>
  <c r="AA63" i="7" s="1"/>
  <c r="AA87" i="7"/>
  <c r="AA85" i="7" s="1"/>
  <c r="AA110" i="7"/>
  <c r="AA108" i="7" s="1"/>
  <c r="AA220" i="7"/>
  <c r="AA31" i="8"/>
  <c r="AA29" i="8" s="1"/>
  <c r="AA54" i="8"/>
  <c r="AA52" i="8" s="1"/>
  <c r="AA63" i="8"/>
  <c r="AA99" i="8"/>
  <c r="AA97" i="8" s="1"/>
  <c r="AA121" i="8"/>
  <c r="AA119" i="8" s="1"/>
  <c r="AA153" i="8"/>
  <c r="AB9" i="8"/>
  <c r="AB7" i="8" s="1"/>
  <c r="AB31" i="8"/>
  <c r="AB29" i="8" s="1"/>
  <c r="AB76" i="8"/>
  <c r="AB74" i="8" s="1"/>
  <c r="AB121" i="8"/>
  <c r="AB119" i="8" s="1"/>
  <c r="AB31" i="7"/>
  <c r="AB29" i="7" s="1"/>
  <c r="AB74" i="7"/>
  <c r="AB119" i="7"/>
  <c r="AB132" i="7"/>
  <c r="AB130" i="7" s="1"/>
  <c r="AB254" i="7"/>
  <c r="AB277" i="7"/>
  <c r="AB187" i="7"/>
  <c r="AB209" i="7"/>
  <c r="AB232" i="7"/>
  <c r="AB299" i="7"/>
  <c r="AB165" i="8"/>
  <c r="AB210" i="8"/>
  <c r="AB187" i="8"/>
  <c r="AA164" i="7"/>
  <c r="AA232" i="7"/>
  <c r="AA299" i="7"/>
  <c r="AA254" i="7"/>
  <c r="AA119" i="7"/>
  <c r="AA209" i="7"/>
  <c r="AB40" i="7"/>
  <c r="AB164" i="7"/>
  <c r="AA153" i="7"/>
  <c r="AA187" i="7"/>
  <c r="AB18" i="7"/>
  <c r="AB63" i="7"/>
  <c r="AB108" i="7"/>
  <c r="AA142" i="8"/>
  <c r="AA74" i="7"/>
  <c r="AA187" i="8"/>
  <c r="AB63" i="8"/>
  <c r="AB108" i="8"/>
  <c r="AB222" i="8"/>
  <c r="AB52" i="8"/>
  <c r="AB97" i="8"/>
  <c r="AA74" i="8"/>
  <c r="AB265" i="7"/>
  <c r="AB288" i="7"/>
  <c r="AB175" i="7"/>
  <c r="AB198" i="7"/>
  <c r="AA265" i="7"/>
  <c r="AA198" i="7"/>
  <c r="Y189" i="8" l="1"/>
  <c r="Y167" i="8"/>
  <c r="Y155" i="8"/>
  <c r="Y144" i="8"/>
  <c r="Y76" i="8"/>
  <c r="Z201" i="8"/>
  <c r="Z155" i="8"/>
  <c r="Z153" i="8" s="1"/>
  <c r="Z133" i="8"/>
  <c r="Z131" i="8" s="1"/>
  <c r="Z76" i="8"/>
  <c r="L20" i="9"/>
  <c r="K20" i="9"/>
  <c r="K54" i="9"/>
  <c r="J71" i="9"/>
  <c r="J20" i="9"/>
  <c r="J54" i="9"/>
  <c r="I71" i="9"/>
  <c r="I20" i="9"/>
  <c r="I54" i="9"/>
  <c r="H71" i="9"/>
  <c r="H54" i="9"/>
  <c r="F20" i="9"/>
  <c r="M70" i="9"/>
  <c r="K70" i="9"/>
  <c r="H70" i="9"/>
  <c r="J19" i="9"/>
  <c r="I19" i="9"/>
  <c r="F19" i="9"/>
  <c r="M53" i="9"/>
  <c r="K53" i="9"/>
  <c r="J53" i="9"/>
  <c r="H53" i="9"/>
  <c r="J36" i="9"/>
  <c r="I36" i="9"/>
  <c r="H36" i="9"/>
  <c r="F36" i="9"/>
  <c r="M69" i="9"/>
  <c r="L69" i="9"/>
  <c r="H69" i="9"/>
  <c r="J18" i="9"/>
  <c r="I18" i="9"/>
  <c r="H18" i="9"/>
  <c r="F18" i="9"/>
  <c r="M52" i="9"/>
  <c r="L52" i="9"/>
  <c r="J52" i="9"/>
  <c r="H52" i="9"/>
  <c r="J35" i="9"/>
  <c r="I35" i="9"/>
  <c r="F35" i="9"/>
  <c r="M68" i="9"/>
  <c r="L68" i="9"/>
  <c r="K68" i="9"/>
  <c r="H68" i="9"/>
  <c r="K17" i="9"/>
  <c r="I17" i="9"/>
  <c r="F17" i="9"/>
  <c r="M51" i="9"/>
  <c r="L51" i="9"/>
  <c r="K51" i="9"/>
  <c r="H51" i="9"/>
  <c r="K34" i="9"/>
  <c r="I34" i="9"/>
  <c r="F34" i="9"/>
  <c r="M67" i="9"/>
  <c r="L67" i="9"/>
  <c r="K67" i="9"/>
  <c r="H67" i="9"/>
  <c r="K16" i="9"/>
  <c r="J16" i="9"/>
  <c r="H16" i="9"/>
  <c r="F16" i="9"/>
  <c r="M50" i="9"/>
  <c r="L50" i="9"/>
  <c r="K50" i="9"/>
  <c r="H50" i="9"/>
  <c r="K33" i="9"/>
  <c r="J33" i="9"/>
  <c r="F33" i="9"/>
  <c r="M66" i="9"/>
  <c r="L66" i="9"/>
  <c r="K66" i="9"/>
  <c r="J66" i="9"/>
  <c r="K15" i="9"/>
  <c r="I15" i="9"/>
  <c r="H15" i="9"/>
  <c r="F15" i="9"/>
  <c r="M49" i="9"/>
  <c r="J49" i="9"/>
  <c r="M32" i="9"/>
  <c r="L32" i="9"/>
  <c r="K32" i="9"/>
  <c r="J32" i="9"/>
  <c r="I32" i="9"/>
  <c r="H32" i="9"/>
  <c r="K64" i="9"/>
  <c r="J64" i="9"/>
  <c r="I64" i="9"/>
  <c r="H64" i="9"/>
  <c r="M13" i="9"/>
  <c r="L13" i="9"/>
  <c r="I13" i="9"/>
  <c r="K47" i="9"/>
  <c r="J47" i="9"/>
  <c r="I47" i="9"/>
  <c r="H47" i="9"/>
  <c r="M30" i="9"/>
  <c r="L30" i="9"/>
  <c r="I30" i="9"/>
  <c r="M64" i="9" l="1"/>
  <c r="H49" i="9"/>
  <c r="M15" i="9"/>
  <c r="M47" i="9"/>
  <c r="F66" i="9"/>
  <c r="M33" i="9"/>
  <c r="M16" i="9"/>
  <c r="M34" i="9"/>
  <c r="M17" i="9"/>
  <c r="M35" i="9"/>
  <c r="M18" i="9"/>
  <c r="M36" i="9"/>
  <c r="M19" i="9"/>
  <c r="F54" i="9"/>
  <c r="F71" i="9"/>
  <c r="J13" i="9"/>
  <c r="F50" i="9"/>
  <c r="F67" i="9"/>
  <c r="F51" i="9"/>
  <c r="F68" i="9"/>
  <c r="F52" i="9"/>
  <c r="F69" i="9"/>
  <c r="F53" i="9"/>
  <c r="F70" i="9"/>
  <c r="H20" i="9"/>
  <c r="K49" i="9"/>
  <c r="I66" i="9"/>
  <c r="J50" i="9"/>
  <c r="J67" i="9"/>
  <c r="I68" i="9"/>
  <c r="I52" i="9"/>
  <c r="I69" i="9"/>
  <c r="I53" i="9"/>
  <c r="I70" i="9"/>
  <c r="J30" i="9"/>
  <c r="L47" i="9"/>
  <c r="L64" i="9"/>
  <c r="F49" i="9"/>
  <c r="L15" i="9"/>
  <c r="Y9" i="8"/>
  <c r="Y7" i="8" s="1"/>
  <c r="L34" i="9"/>
  <c r="K19" i="9"/>
  <c r="K36" i="9"/>
  <c r="L33" i="9"/>
  <c r="L16" i="9"/>
  <c r="L17" i="9"/>
  <c r="L35" i="9"/>
  <c r="L18" i="9"/>
  <c r="H37" i="9"/>
  <c r="K30" i="9"/>
  <c r="K13" i="9"/>
  <c r="F32" i="9"/>
  <c r="L49" i="9"/>
  <c r="J69" i="9"/>
  <c r="Z99" i="7"/>
  <c r="Y144" i="7"/>
  <c r="Y166" i="7"/>
  <c r="Y164" i="7" s="1"/>
  <c r="Y189" i="7"/>
  <c r="Y211" i="7"/>
  <c r="Z155" i="7"/>
  <c r="Z177" i="7"/>
  <c r="Z200" i="7"/>
  <c r="Z222" i="7"/>
  <c r="Y9" i="7"/>
  <c r="Y155" i="7"/>
  <c r="Y177" i="7"/>
  <c r="Y200" i="7"/>
  <c r="Y222" i="7"/>
  <c r="Z144" i="7"/>
  <c r="Z166" i="7"/>
  <c r="Z189" i="7"/>
  <c r="Z211" i="7"/>
  <c r="Y133" i="8"/>
  <c r="Y131" i="8" s="1"/>
  <c r="Y178" i="8"/>
  <c r="Y176" i="8" s="1"/>
  <c r="Y201" i="8"/>
  <c r="Y199" i="8" s="1"/>
  <c r="Z76" i="7"/>
  <c r="Y88" i="8"/>
  <c r="Y86" i="8" s="1"/>
  <c r="Y110" i="8"/>
  <c r="Y108" i="8" s="1"/>
  <c r="Y76" i="7"/>
  <c r="X211" i="7"/>
  <c r="X209" i="7" s="1"/>
  <c r="X110" i="8"/>
  <c r="Y224" i="8"/>
  <c r="Y222" i="8" s="1"/>
  <c r="Y99" i="7"/>
  <c r="Y234" i="7"/>
  <c r="Y256" i="7"/>
  <c r="Z224" i="8"/>
  <c r="Z222" i="8" s="1"/>
  <c r="Z312" i="7"/>
  <c r="Y132" i="7"/>
  <c r="Y54" i="8"/>
  <c r="Y52" i="8" s="1"/>
  <c r="Z9" i="8"/>
  <c r="Z7" i="8" s="1"/>
  <c r="Y279" i="7"/>
  <c r="Y301" i="7"/>
  <c r="Z9" i="7"/>
  <c r="Z31" i="7"/>
  <c r="X144" i="8"/>
  <c r="X142" i="8" s="1"/>
  <c r="X167" i="8"/>
  <c r="X165" i="8" s="1"/>
  <c r="X212" i="8"/>
  <c r="X210" i="8" s="1"/>
  <c r="X87" i="7"/>
  <c r="X85" i="7" s="1"/>
  <c r="X121" i="8"/>
  <c r="X119" i="8" s="1"/>
  <c r="X144" i="7"/>
  <c r="X142" i="7" s="1"/>
  <c r="X189" i="7"/>
  <c r="X187" i="7" s="1"/>
  <c r="Z110" i="8"/>
  <c r="Z108" i="8" s="1"/>
  <c r="X20" i="7"/>
  <c r="X18" i="7" s="1"/>
  <c r="X65" i="8"/>
  <c r="X63" i="8" s="1"/>
  <c r="Z20" i="8"/>
  <c r="Z18" i="8" s="1"/>
  <c r="Y65" i="7"/>
  <c r="X133" i="8"/>
  <c r="X131" i="8" s="1"/>
  <c r="X224" i="8"/>
  <c r="X222" i="8" s="1"/>
  <c r="Y31" i="7"/>
  <c r="Y110" i="7"/>
  <c r="Y74" i="8"/>
  <c r="X31" i="7"/>
  <c r="X29" i="7" s="1"/>
  <c r="X76" i="8"/>
  <c r="X74" i="8" s="1"/>
  <c r="Y54" i="7"/>
  <c r="Y245" i="7"/>
  <c r="Y267" i="7"/>
  <c r="Y290" i="7"/>
  <c r="Y312" i="7"/>
  <c r="X43" i="8"/>
  <c r="X41" i="8" s="1"/>
  <c r="Z245" i="7"/>
  <c r="Z267" i="7"/>
  <c r="X42" i="7"/>
  <c r="X40" i="7" s="1"/>
  <c r="Z132" i="7"/>
  <c r="Z301" i="7"/>
  <c r="Z290" i="7"/>
  <c r="X279" i="7"/>
  <c r="X277" i="7" s="1"/>
  <c r="H13" i="9"/>
  <c r="Z88" i="8"/>
  <c r="Z86" i="8" s="1"/>
  <c r="Z31" i="8"/>
  <c r="Z29" i="8" s="1"/>
  <c r="Z54" i="8"/>
  <c r="Z52" i="8" s="1"/>
  <c r="X9" i="8"/>
  <c r="X7" i="8" s="1"/>
  <c r="X31" i="8"/>
  <c r="X29" i="8" s="1"/>
  <c r="X88" i="8"/>
  <c r="X86" i="8" s="1"/>
  <c r="Z65" i="7"/>
  <c r="Z178" i="8"/>
  <c r="Z176" i="8" s="1"/>
  <c r="Z220" i="7"/>
  <c r="X200" i="7"/>
  <c r="X198" i="7" s="1"/>
  <c r="X312" i="7"/>
  <c r="X310" i="7" s="1"/>
  <c r="X189" i="8"/>
  <c r="X187" i="8" s="1"/>
  <c r="Z110" i="7"/>
  <c r="Z43" i="8"/>
  <c r="Z41" i="8" s="1"/>
  <c r="Z99" i="8"/>
  <c r="Z97" i="8" s="1"/>
  <c r="Z121" i="8"/>
  <c r="Z119" i="8" s="1"/>
  <c r="Y31" i="8"/>
  <c r="Y29" i="8" s="1"/>
  <c r="X155" i="7"/>
  <c r="X153" i="7" s="1"/>
  <c r="Z54" i="7"/>
  <c r="Z65" i="8"/>
  <c r="Z63" i="8" s="1"/>
  <c r="Z144" i="8"/>
  <c r="Z142" i="8" s="1"/>
  <c r="Z167" i="8"/>
  <c r="Z165" i="8" s="1"/>
  <c r="Z189" i="8"/>
  <c r="Z187" i="8" s="1"/>
  <c r="Z212" i="8"/>
  <c r="Z210" i="8" s="1"/>
  <c r="X99" i="8"/>
  <c r="X97" i="8" s="1"/>
  <c r="X121" i="7"/>
  <c r="X119" i="7" s="1"/>
  <c r="X234" i="7"/>
  <c r="X232" i="7" s="1"/>
  <c r="X301" i="7"/>
  <c r="X299" i="7" s="1"/>
  <c r="Y153" i="8"/>
  <c r="X222" i="7"/>
  <c r="X220" i="7" s="1"/>
  <c r="Z199" i="8"/>
  <c r="Y20" i="7"/>
  <c r="Y42" i="7"/>
  <c r="Y63" i="7"/>
  <c r="Y121" i="7"/>
  <c r="Y142" i="7"/>
  <c r="X20" i="8"/>
  <c r="X18" i="8" s="1"/>
  <c r="X177" i="7"/>
  <c r="X175" i="7" s="1"/>
  <c r="X155" i="8"/>
  <c r="X153" i="8" s="1"/>
  <c r="X178" i="8"/>
  <c r="X176" i="8" s="1"/>
  <c r="X201" i="8"/>
  <c r="X199" i="8" s="1"/>
  <c r="X54" i="7"/>
  <c r="X52" i="7" s="1"/>
  <c r="X110" i="7"/>
  <c r="X108" i="7" s="1"/>
  <c r="Z20" i="7"/>
  <c r="Z42" i="7"/>
  <c r="Z121" i="7"/>
  <c r="Y20" i="8"/>
  <c r="Y18" i="8" s="1"/>
  <c r="Y43" i="8"/>
  <c r="Y41" i="8" s="1"/>
  <c r="Y99" i="8"/>
  <c r="Y97" i="8" s="1"/>
  <c r="Y121" i="8"/>
  <c r="Y119" i="8" s="1"/>
  <c r="Y142" i="8"/>
  <c r="Y165" i="8"/>
  <c r="Y187" i="8"/>
  <c r="Y87" i="7"/>
  <c r="Z234" i="7"/>
  <c r="Z256" i="7"/>
  <c r="Z279" i="7"/>
  <c r="Y65" i="8"/>
  <c r="Y63" i="8" s="1"/>
  <c r="Y212" i="8"/>
  <c r="Y210" i="8" s="1"/>
  <c r="Z87" i="7"/>
  <c r="Z74" i="8"/>
  <c r="H19" i="9"/>
  <c r="X166" i="7"/>
  <c r="X164" i="7" s="1"/>
  <c r="X132" i="7"/>
  <c r="X130" i="7" s="1"/>
  <c r="J15" i="9"/>
  <c r="H33" i="9"/>
  <c r="H35" i="9"/>
  <c r="I49" i="9"/>
  <c r="J70" i="9"/>
  <c r="H17" i="9"/>
  <c r="X99" i="7"/>
  <c r="X97" i="7" s="1"/>
  <c r="X256" i="7"/>
  <c r="X254" i="7" s="1"/>
  <c r="X54" i="8"/>
  <c r="X52" i="8" s="1"/>
  <c r="I51" i="9"/>
  <c r="H66" i="9"/>
  <c r="X267" i="7"/>
  <c r="X265" i="7" s="1"/>
  <c r="X9" i="7"/>
  <c r="X7" i="7" s="1"/>
  <c r="X65" i="7"/>
  <c r="X63" i="7" s="1"/>
  <c r="X76" i="7"/>
  <c r="X74" i="7" s="1"/>
  <c r="X245" i="7"/>
  <c r="X243" i="7" s="1"/>
  <c r="X290" i="7"/>
  <c r="X288" i="7" s="1"/>
  <c r="H30" i="9"/>
  <c r="H34" i="9"/>
  <c r="X108" i="8"/>
  <c r="Z108" i="7" l="1"/>
  <c r="Y265" i="7"/>
  <c r="Y232" i="7"/>
  <c r="Z209" i="7"/>
  <c r="Z153" i="7"/>
  <c r="Y243" i="7"/>
  <c r="Z29" i="7"/>
  <c r="Y97" i="7"/>
  <c r="Z187" i="7"/>
  <c r="Y209" i="7"/>
  <c r="Y52" i="7"/>
  <c r="Z7" i="7"/>
  <c r="Z164" i="7"/>
  <c r="Y187" i="7"/>
  <c r="Y40" i="7"/>
  <c r="Z288" i="7"/>
  <c r="Y299" i="7"/>
  <c r="Z142" i="7"/>
  <c r="Z18" i="7"/>
  <c r="Z232" i="7"/>
  <c r="Y18" i="7"/>
  <c r="Z299" i="7"/>
  <c r="Z130" i="7"/>
  <c r="Y74" i="7"/>
  <c r="Y198" i="7"/>
  <c r="Z97" i="7"/>
  <c r="Z119" i="7"/>
  <c r="Y85" i="7"/>
  <c r="Y108" i="7"/>
  <c r="Y175" i="7"/>
  <c r="Y277" i="7"/>
  <c r="Z52" i="7"/>
  <c r="Y153" i="7"/>
  <c r="Z254" i="7"/>
  <c r="Z63" i="7"/>
  <c r="Y29" i="7"/>
  <c r="Z243" i="7"/>
  <c r="Z310" i="7"/>
  <c r="Z74" i="7"/>
  <c r="Y7" i="7"/>
  <c r="Z277" i="7"/>
  <c r="Z40" i="7"/>
  <c r="Y220" i="7"/>
  <c r="Z265" i="7"/>
  <c r="Y130" i="7"/>
  <c r="Y119" i="7"/>
  <c r="Y310" i="7"/>
  <c r="Z198" i="7"/>
  <c r="Z85" i="7"/>
  <c r="Y288" i="7"/>
  <c r="Y254" i="7"/>
  <c r="Z175" i="7"/>
  <c r="C4" i="9"/>
  <c r="Q121" i="8" l="1"/>
  <c r="Q119" i="8" s="1"/>
  <c r="Q88" i="8" l="1"/>
  <c r="Q110" i="8"/>
  <c r="Q108" i="8" s="1"/>
  <c r="O99" i="8"/>
  <c r="O97" i="8" s="1"/>
  <c r="S121" i="8"/>
  <c r="S119" i="8" s="1"/>
  <c r="P121" i="8"/>
  <c r="P119" i="8" s="1"/>
  <c r="T121" i="8"/>
  <c r="T119" i="8" s="1"/>
  <c r="R121" i="8"/>
  <c r="R119" i="8" s="1"/>
  <c r="N121" i="8"/>
  <c r="N119" i="8" s="1"/>
  <c r="O121" i="8"/>
  <c r="O119" i="8" s="1"/>
  <c r="U121" i="8"/>
  <c r="U119" i="8" s="1"/>
  <c r="J121" i="8"/>
  <c r="J119" i="8" s="1"/>
  <c r="K121" i="8"/>
  <c r="K119" i="8" s="1"/>
  <c r="S99" i="8"/>
  <c r="S97" i="8" s="1"/>
  <c r="T99" i="8"/>
  <c r="T97" i="8" s="1"/>
  <c r="U99" i="8"/>
  <c r="U97" i="8" s="1"/>
  <c r="Q86" i="8"/>
  <c r="U88" i="8"/>
  <c r="U86" i="8" s="1"/>
  <c r="U110" i="8"/>
  <c r="U108" i="8" s="1"/>
  <c r="R99" i="8"/>
  <c r="R97" i="8" s="1"/>
  <c r="L99" i="8"/>
  <c r="L97" i="8" s="1"/>
  <c r="P99" i="8"/>
  <c r="P97" i="8" s="1"/>
  <c r="J99" i="8"/>
  <c r="J97" i="8" s="1"/>
  <c r="F121" i="8"/>
  <c r="F119" i="8" s="1"/>
  <c r="N99" i="8"/>
  <c r="N97" i="8" s="1"/>
  <c r="K99" i="8"/>
  <c r="K97" i="8" s="1"/>
  <c r="M88" i="8"/>
  <c r="M86" i="8" s="1"/>
  <c r="M110" i="8"/>
  <c r="M108" i="8" s="1"/>
  <c r="M121" i="8"/>
  <c r="M119" i="8" s="1"/>
  <c r="Q99" i="8"/>
  <c r="Q97" i="8" s="1"/>
  <c r="M99" i="8"/>
  <c r="M97" i="8" s="1"/>
  <c r="P88" i="8"/>
  <c r="P86" i="8" s="1"/>
  <c r="J88" i="8"/>
  <c r="J86" i="8" s="1"/>
  <c r="N88" i="8"/>
  <c r="N86" i="8" s="1"/>
  <c r="N110" i="8"/>
  <c r="N108" i="8" s="1"/>
  <c r="R88" i="8"/>
  <c r="R86" i="8" s="1"/>
  <c r="K88" i="8"/>
  <c r="K86" i="8" s="1"/>
  <c r="K110" i="8"/>
  <c r="K108" i="8" s="1"/>
  <c r="O110" i="8"/>
  <c r="O108" i="8" s="1"/>
  <c r="S88" i="8"/>
  <c r="S86" i="8" s="1"/>
  <c r="L88" i="8"/>
  <c r="L86" i="8" s="1"/>
  <c r="L110" i="8"/>
  <c r="L108" i="8" s="1"/>
  <c r="P110" i="8"/>
  <c r="P108" i="8" s="1"/>
  <c r="T88" i="8"/>
  <c r="T86" i="8" s="1"/>
  <c r="T110" i="8"/>
  <c r="T108" i="8" s="1"/>
  <c r="O88" i="8"/>
  <c r="O86" i="8" s="1"/>
  <c r="L121" i="8"/>
  <c r="L119" i="8" s="1"/>
  <c r="S110" i="8"/>
  <c r="S108" i="8" s="1"/>
  <c r="W121" i="8"/>
  <c r="W119" i="8" s="1"/>
  <c r="H99" i="8"/>
  <c r="H97" i="8" s="1"/>
  <c r="I88" i="8"/>
  <c r="I86" i="8" s="1"/>
  <c r="I121" i="8"/>
  <c r="I119" i="8" s="1"/>
  <c r="G110" i="8"/>
  <c r="G108" i="8" s="1"/>
  <c r="H110" i="8"/>
  <c r="H108" i="8" s="1"/>
  <c r="I110" i="8"/>
  <c r="I108" i="8" s="1"/>
  <c r="V88" i="8"/>
  <c r="V86" i="8" s="1"/>
  <c r="I99" i="8"/>
  <c r="I97" i="8" s="1"/>
  <c r="W88" i="8"/>
  <c r="W86" i="8" s="1"/>
  <c r="W99" i="8"/>
  <c r="W97" i="8" s="1"/>
  <c r="W110" i="8"/>
  <c r="W108" i="8" s="1"/>
  <c r="V121" i="8"/>
  <c r="V119" i="8" s="1"/>
  <c r="G121" i="8"/>
  <c r="G119" i="8" s="1"/>
  <c r="H121" i="8"/>
  <c r="H119" i="8" s="1"/>
  <c r="G99" i="8"/>
  <c r="G97" i="8" s="1"/>
  <c r="V99" i="8"/>
  <c r="V97" i="8" s="1"/>
  <c r="V110" i="8"/>
  <c r="V108" i="8" s="1"/>
  <c r="G88" i="8"/>
  <c r="G86" i="8" s="1"/>
  <c r="H88" i="8"/>
  <c r="H86" i="8" s="1"/>
  <c r="J110" i="8"/>
  <c r="J108" i="8" s="1"/>
  <c r="F99" i="8"/>
  <c r="F97" i="8" s="1"/>
  <c r="F110" i="8"/>
  <c r="F108" i="8" s="1"/>
  <c r="R110" i="8"/>
  <c r="R108" i="8" s="1"/>
  <c r="V189" i="8" l="1"/>
  <c r="V187" i="8" s="1"/>
  <c r="R189" i="8"/>
  <c r="R187" i="8" s="1"/>
  <c r="N189" i="8"/>
  <c r="N187" i="8" s="1"/>
  <c r="J189" i="8"/>
  <c r="J187" i="8" s="1"/>
  <c r="F189" i="8"/>
  <c r="F187" i="8" s="1"/>
  <c r="W189" i="8"/>
  <c r="W187" i="8" s="1"/>
  <c r="T189" i="8"/>
  <c r="S189" i="8"/>
  <c r="S187" i="8" s="1"/>
  <c r="P189" i="8"/>
  <c r="O189" i="8"/>
  <c r="O187" i="8" s="1"/>
  <c r="L189" i="8"/>
  <c r="K189" i="8"/>
  <c r="K187" i="8" s="1"/>
  <c r="H189" i="8"/>
  <c r="G189" i="8"/>
  <c r="G187" i="8" s="1"/>
  <c r="U189" i="8"/>
  <c r="U187" i="8" s="1"/>
  <c r="Q189" i="8"/>
  <c r="Q187" i="8" s="1"/>
  <c r="M189" i="8"/>
  <c r="M187" i="8" s="1"/>
  <c r="I189" i="8"/>
  <c r="I187" i="8" s="1"/>
  <c r="V178" i="8"/>
  <c r="V176" i="8" s="1"/>
  <c r="R178" i="8"/>
  <c r="R176" i="8" s="1"/>
  <c r="N178" i="8"/>
  <c r="N176" i="8" s="1"/>
  <c r="J178" i="8"/>
  <c r="J176" i="8" s="1"/>
  <c r="W178" i="8"/>
  <c r="W176" i="8" s="1"/>
  <c r="T178" i="8"/>
  <c r="S178" i="8"/>
  <c r="S176" i="8" s="1"/>
  <c r="P178" i="8"/>
  <c r="O178" i="8"/>
  <c r="O176" i="8" s="1"/>
  <c r="L178" i="8"/>
  <c r="K178" i="8"/>
  <c r="K176" i="8" s="1"/>
  <c r="H178" i="8"/>
  <c r="G178" i="8"/>
  <c r="G176" i="8" s="1"/>
  <c r="U178" i="8"/>
  <c r="U176" i="8" s="1"/>
  <c r="Q178" i="8"/>
  <c r="Q176" i="8" s="1"/>
  <c r="M178" i="8"/>
  <c r="M176" i="8" s="1"/>
  <c r="I178" i="8"/>
  <c r="I176" i="8" s="1"/>
  <c r="V167" i="8"/>
  <c r="V165" i="8" s="1"/>
  <c r="R167" i="8"/>
  <c r="R165" i="8" s="1"/>
  <c r="N167" i="8"/>
  <c r="N165" i="8" s="1"/>
  <c r="J167" i="8"/>
  <c r="J165" i="8" s="1"/>
  <c r="F167" i="8"/>
  <c r="W167" i="8"/>
  <c r="W165" i="8" s="1"/>
  <c r="T167" i="8"/>
  <c r="S167" i="8"/>
  <c r="S165" i="8" s="1"/>
  <c r="P167" i="8"/>
  <c r="O167" i="8"/>
  <c r="O165" i="8" s="1"/>
  <c r="L167" i="8"/>
  <c r="K167" i="8"/>
  <c r="K165" i="8" s="1"/>
  <c r="H167" i="8"/>
  <c r="G167" i="8"/>
  <c r="G165" i="8" s="1"/>
  <c r="U167" i="8"/>
  <c r="Q167" i="8"/>
  <c r="Q165" i="8" s="1"/>
  <c r="M167" i="8"/>
  <c r="M165" i="8" s="1"/>
  <c r="I167" i="8"/>
  <c r="I165" i="8" s="1"/>
  <c r="U165" i="8"/>
  <c r="S155" i="8"/>
  <c r="S153" i="8" s="1"/>
  <c r="K155" i="8"/>
  <c r="K153" i="8" s="1"/>
  <c r="V155" i="8"/>
  <c r="V153" i="8" s="1"/>
  <c r="U155" i="8"/>
  <c r="U153" i="8" s="1"/>
  <c r="Q155" i="8"/>
  <c r="Q153" i="8" s="1"/>
  <c r="N155" i="8"/>
  <c r="N153" i="8" s="1"/>
  <c r="M155" i="8"/>
  <c r="M153" i="8" s="1"/>
  <c r="I155" i="8"/>
  <c r="I153" i="8" s="1"/>
  <c r="W155" i="8"/>
  <c r="W153" i="8" s="1"/>
  <c r="R155" i="8"/>
  <c r="R153" i="8" s="1"/>
  <c r="O155" i="8"/>
  <c r="O153" i="8" s="1"/>
  <c r="J155" i="8"/>
  <c r="J153" i="8" s="1"/>
  <c r="G155" i="8"/>
  <c r="G153" i="8" s="1"/>
  <c r="R144" i="8"/>
  <c r="R142" i="8" s="1"/>
  <c r="N144" i="8"/>
  <c r="N142" i="8" s="1"/>
  <c r="J144" i="8"/>
  <c r="J142" i="8" s="1"/>
  <c r="W144" i="8"/>
  <c r="W142" i="8" s="1"/>
  <c r="T144" i="8"/>
  <c r="T142" i="8" s="1"/>
  <c r="P144" i="8"/>
  <c r="P142" i="8" s="1"/>
  <c r="L144" i="8"/>
  <c r="L142" i="8" s="1"/>
  <c r="H144" i="8"/>
  <c r="H142" i="8" s="1"/>
  <c r="G144" i="8"/>
  <c r="V144" i="8"/>
  <c r="V142" i="8" s="1"/>
  <c r="O144" i="8"/>
  <c r="O142" i="8" s="1"/>
  <c r="F144" i="8"/>
  <c r="S133" i="8"/>
  <c r="S131" i="8" s="1"/>
  <c r="R133" i="8"/>
  <c r="R131" i="8" s="1"/>
  <c r="O133" i="8"/>
  <c r="O131" i="8" s="1"/>
  <c r="N133" i="8"/>
  <c r="N131" i="8" s="1"/>
  <c r="K133" i="8"/>
  <c r="K131" i="8" s="1"/>
  <c r="J133" i="8"/>
  <c r="J131" i="8" s="1"/>
  <c r="U133" i="8"/>
  <c r="T133" i="8"/>
  <c r="T131" i="8" s="1"/>
  <c r="Q133" i="8"/>
  <c r="Q131" i="8" s="1"/>
  <c r="P133" i="8"/>
  <c r="P131" i="8" s="1"/>
  <c r="M133" i="8"/>
  <c r="M131" i="8" s="1"/>
  <c r="L133" i="8"/>
  <c r="L131" i="8" s="1"/>
  <c r="I133" i="8"/>
  <c r="I131" i="8" s="1"/>
  <c r="H133" i="8"/>
  <c r="H131" i="8" s="1"/>
  <c r="W133" i="8"/>
  <c r="W131" i="8" s="1"/>
  <c r="V133" i="8"/>
  <c r="V131" i="8" s="1"/>
  <c r="G133" i="8"/>
  <c r="G131" i="8" s="1"/>
  <c r="F133" i="8"/>
  <c r="F131" i="8" s="1"/>
  <c r="U131" i="8"/>
  <c r="I48" i="9"/>
  <c r="V110" i="7" l="1"/>
  <c r="W99" i="7"/>
  <c r="P99" i="7"/>
  <c r="P97" i="7" s="1"/>
  <c r="R99" i="7"/>
  <c r="R97" i="7" s="1"/>
  <c r="T99" i="7"/>
  <c r="M31" i="9"/>
  <c r="F48" i="9"/>
  <c r="S99" i="7"/>
  <c r="S97" i="7" s="1"/>
  <c r="U99" i="7"/>
  <c r="U97" i="7" s="1"/>
  <c r="R222" i="7"/>
  <c r="R220" i="7" s="1"/>
  <c r="M99" i="7"/>
  <c r="M97" i="7" s="1"/>
  <c r="R189" i="7"/>
  <c r="R187" i="7" s="1"/>
  <c r="M132" i="7"/>
  <c r="M130" i="7" s="1"/>
  <c r="L189" i="7"/>
  <c r="L187" i="7" s="1"/>
  <c r="L99" i="7"/>
  <c r="L97" i="7" s="1"/>
  <c r="N99" i="7"/>
  <c r="N97" i="7" s="1"/>
  <c r="L200" i="7"/>
  <c r="F189" i="7"/>
  <c r="F187" i="7" s="1"/>
  <c r="O200" i="7"/>
  <c r="O198" i="7" s="1"/>
  <c r="H200" i="7"/>
  <c r="H198" i="7" s="1"/>
  <c r="U211" i="7"/>
  <c r="U209" i="7" s="1"/>
  <c r="P200" i="7"/>
  <c r="P198" i="7" s="1"/>
  <c r="T200" i="7"/>
  <c r="T198" i="7" s="1"/>
  <c r="H189" i="7"/>
  <c r="H187" i="7" s="1"/>
  <c r="P189" i="7"/>
  <c r="P187" i="7" s="1"/>
  <c r="N189" i="7"/>
  <c r="N187" i="7" s="1"/>
  <c r="V99" i="7"/>
  <c r="V97" i="7" s="1"/>
  <c r="I99" i="7"/>
  <c r="I97" i="7" s="1"/>
  <c r="J99" i="7"/>
  <c r="J97" i="7" s="1"/>
  <c r="K99" i="7"/>
  <c r="F166" i="7"/>
  <c r="F164" i="7" s="1"/>
  <c r="F222" i="7"/>
  <c r="F220" i="7" s="1"/>
  <c r="P211" i="7"/>
  <c r="P209" i="7" s="1"/>
  <c r="G110" i="7"/>
  <c r="G108" i="7" s="1"/>
  <c r="G121" i="7"/>
  <c r="G119" i="7" s="1"/>
  <c r="G132" i="7"/>
  <c r="G130" i="7" s="1"/>
  <c r="H121" i="7"/>
  <c r="H119" i="7" s="1"/>
  <c r="H132" i="7"/>
  <c r="H130" i="7" s="1"/>
  <c r="I110" i="7"/>
  <c r="I108" i="7" s="1"/>
  <c r="I132" i="7"/>
  <c r="I130" i="7" s="1"/>
  <c r="J110" i="7"/>
  <c r="J108" i="7" s="1"/>
  <c r="J132" i="7"/>
  <c r="J130" i="7" s="1"/>
  <c r="K110" i="7"/>
  <c r="K108" i="7" s="1"/>
  <c r="K121" i="7"/>
  <c r="K119" i="7" s="1"/>
  <c r="K132" i="7"/>
  <c r="K130" i="7" s="1"/>
  <c r="L121" i="7"/>
  <c r="L119" i="7" s="1"/>
  <c r="L132" i="7"/>
  <c r="L130" i="7" s="1"/>
  <c r="M110" i="7"/>
  <c r="M108" i="7" s="1"/>
  <c r="N110" i="7"/>
  <c r="N108" i="7" s="1"/>
  <c r="N132" i="7"/>
  <c r="N130" i="7" s="1"/>
  <c r="O110" i="7"/>
  <c r="O108" i="7" s="1"/>
  <c r="O121" i="7"/>
  <c r="O119" i="7" s="1"/>
  <c r="O132" i="7"/>
  <c r="P121" i="7"/>
  <c r="P119" i="7" s="1"/>
  <c r="P132" i="7"/>
  <c r="P130" i="7" s="1"/>
  <c r="M189" i="7"/>
  <c r="M187" i="7" s="1"/>
  <c r="M48" i="9"/>
  <c r="J189" i="7"/>
  <c r="J187" i="7" s="1"/>
  <c r="V189" i="7"/>
  <c r="V187" i="7" s="1"/>
  <c r="T189" i="7"/>
  <c r="T187" i="7" s="1"/>
  <c r="L48" i="9"/>
  <c r="I211" i="7"/>
  <c r="I209" i="7" s="1"/>
  <c r="M211" i="7"/>
  <c r="M209" i="7" s="1"/>
  <c r="Q211" i="7"/>
  <c r="Q209" i="7" s="1"/>
  <c r="J222" i="7"/>
  <c r="J220" i="7" s="1"/>
  <c r="N222" i="7"/>
  <c r="V222" i="7"/>
  <c r="V220" i="7" s="1"/>
  <c r="J31" i="9"/>
  <c r="I65" i="9"/>
  <c r="M65" i="9"/>
  <c r="F31" i="9"/>
  <c r="K31" i="9"/>
  <c r="Q110" i="7"/>
  <c r="Q108" i="7" s="1"/>
  <c r="H48" i="9"/>
  <c r="Q132" i="7"/>
  <c r="Q130" i="7" s="1"/>
  <c r="J65" i="9"/>
  <c r="R110" i="7"/>
  <c r="R108" i="7" s="1"/>
  <c r="R132" i="7"/>
  <c r="R130" i="7" s="1"/>
  <c r="S110" i="7"/>
  <c r="S108" i="7" s="1"/>
  <c r="S121" i="7"/>
  <c r="S119" i="7" s="1"/>
  <c r="S132" i="7"/>
  <c r="S130" i="7" s="1"/>
  <c r="T97" i="7"/>
  <c r="T121" i="7"/>
  <c r="T119" i="7" s="1"/>
  <c r="T132" i="7"/>
  <c r="T130" i="7" s="1"/>
  <c r="U110" i="7"/>
  <c r="U108" i="7" s="1"/>
  <c r="U132" i="7"/>
  <c r="U130" i="7" s="1"/>
  <c r="V132" i="7"/>
  <c r="V130" i="7" s="1"/>
  <c r="W110" i="7"/>
  <c r="W108" i="7" s="1"/>
  <c r="W121" i="7"/>
  <c r="W119" i="7" s="1"/>
  <c r="W132" i="7"/>
  <c r="W130" i="7" s="1"/>
  <c r="G211" i="7"/>
  <c r="G209" i="7" s="1"/>
  <c r="K211" i="7"/>
  <c r="K209" i="7" s="1"/>
  <c r="O211" i="7"/>
  <c r="O209" i="7" s="1"/>
  <c r="S211" i="7"/>
  <c r="S209" i="7" s="1"/>
  <c r="W211" i="7"/>
  <c r="W209" i="7" s="1"/>
  <c r="H222" i="7"/>
  <c r="H220" i="7" s="1"/>
  <c r="L222" i="7"/>
  <c r="L220" i="7" s="1"/>
  <c r="P222" i="7"/>
  <c r="P220" i="7" s="1"/>
  <c r="T222" i="7"/>
  <c r="T220" i="7" s="1"/>
  <c r="Q99" i="7"/>
  <c r="Q97" i="7" s="1"/>
  <c r="L31" i="9"/>
  <c r="F65" i="9"/>
  <c r="K65" i="9"/>
  <c r="F155" i="7"/>
  <c r="F153" i="7" s="1"/>
  <c r="J200" i="7"/>
  <c r="J198" i="7" s="1"/>
  <c r="N200" i="7"/>
  <c r="N198" i="7" s="1"/>
  <c r="R200" i="7"/>
  <c r="R198" i="7" s="1"/>
  <c r="V200" i="7"/>
  <c r="V198" i="7" s="1"/>
  <c r="K48" i="9"/>
  <c r="I31" i="9"/>
  <c r="J48" i="9"/>
  <c r="H65" i="9"/>
  <c r="L65" i="9"/>
  <c r="F200" i="7"/>
  <c r="F198" i="7" s="1"/>
  <c r="F211" i="7"/>
  <c r="F209" i="7" s="1"/>
  <c r="F155" i="8"/>
  <c r="F153" i="8" s="1"/>
  <c r="F178" i="8"/>
  <c r="F176" i="8" s="1"/>
  <c r="F165" i="8"/>
  <c r="F88" i="8"/>
  <c r="F86" i="8" s="1"/>
  <c r="F142" i="8"/>
  <c r="G142" i="8"/>
  <c r="H165" i="8"/>
  <c r="L165" i="8"/>
  <c r="P165" i="8"/>
  <c r="T165" i="8"/>
  <c r="H176" i="8"/>
  <c r="L176" i="8"/>
  <c r="P176" i="8"/>
  <c r="T176" i="8"/>
  <c r="H187" i="8"/>
  <c r="L187" i="8"/>
  <c r="P187" i="8"/>
  <c r="T187" i="8"/>
  <c r="I144" i="8"/>
  <c r="I142" i="8" s="1"/>
  <c r="M144" i="8"/>
  <c r="M142" i="8" s="1"/>
  <c r="Q144" i="8"/>
  <c r="Q142" i="8" s="1"/>
  <c r="U144" i="8"/>
  <c r="U142" i="8" s="1"/>
  <c r="K144" i="8"/>
  <c r="K142" i="8" s="1"/>
  <c r="S144" i="8"/>
  <c r="S142" i="8" s="1"/>
  <c r="H155" i="8"/>
  <c r="H153" i="8" s="1"/>
  <c r="L155" i="8"/>
  <c r="L153" i="8" s="1"/>
  <c r="P155" i="8"/>
  <c r="P153" i="8" s="1"/>
  <c r="T155" i="8"/>
  <c r="T153" i="8" s="1"/>
  <c r="F177" i="7"/>
  <c r="F175" i="7" s="1"/>
  <c r="G99" i="7"/>
  <c r="G97" i="7" s="1"/>
  <c r="H99" i="7"/>
  <c r="H97" i="7" s="1"/>
  <c r="G189" i="7"/>
  <c r="G187" i="7" s="1"/>
  <c r="K189" i="7"/>
  <c r="K187" i="7" s="1"/>
  <c r="O189" i="7"/>
  <c r="O187" i="7" s="1"/>
  <c r="S189" i="7"/>
  <c r="S187" i="7" s="1"/>
  <c r="W189" i="7"/>
  <c r="W187" i="7" s="1"/>
  <c r="I189" i="7"/>
  <c r="I187" i="7" s="1"/>
  <c r="Q189" i="7"/>
  <c r="Q187" i="7" s="1"/>
  <c r="U189" i="7"/>
  <c r="U187" i="7" s="1"/>
  <c r="G200" i="7"/>
  <c r="G198" i="7" s="1"/>
  <c r="K200" i="7"/>
  <c r="K198" i="7" s="1"/>
  <c r="S200" i="7"/>
  <c r="S198" i="7" s="1"/>
  <c r="W200" i="7"/>
  <c r="W198" i="7" s="1"/>
  <c r="I200" i="7"/>
  <c r="I198" i="7" s="1"/>
  <c r="M200" i="7"/>
  <c r="M198" i="7" s="1"/>
  <c r="Q200" i="7"/>
  <c r="Q198" i="7" s="1"/>
  <c r="U200" i="7"/>
  <c r="U198" i="7" s="1"/>
  <c r="H211" i="7"/>
  <c r="H209" i="7" s="1"/>
  <c r="L211" i="7"/>
  <c r="L209" i="7" s="1"/>
  <c r="T211" i="7"/>
  <c r="T209" i="7" s="1"/>
  <c r="J211" i="7"/>
  <c r="J209" i="7" s="1"/>
  <c r="N211" i="7"/>
  <c r="N209" i="7" s="1"/>
  <c r="R211" i="7"/>
  <c r="R209" i="7" s="1"/>
  <c r="V211" i="7"/>
  <c r="V209" i="7" s="1"/>
  <c r="I222" i="7"/>
  <c r="I220" i="7" s="1"/>
  <c r="M222" i="7"/>
  <c r="M220" i="7" s="1"/>
  <c r="Q222" i="7"/>
  <c r="Q220" i="7" s="1"/>
  <c r="U222" i="7"/>
  <c r="U220" i="7" s="1"/>
  <c r="G222" i="7"/>
  <c r="G220" i="7" s="1"/>
  <c r="K222" i="7"/>
  <c r="K220" i="7" s="1"/>
  <c r="O222" i="7"/>
  <c r="O220" i="7" s="1"/>
  <c r="S222" i="7"/>
  <c r="S220" i="7" s="1"/>
  <c r="W222" i="7"/>
  <c r="W220" i="7" s="1"/>
  <c r="O99" i="7"/>
  <c r="O97" i="7" s="1"/>
  <c r="O130" i="7"/>
  <c r="V108" i="7"/>
  <c r="U121" i="7"/>
  <c r="U119" i="7" s="1"/>
  <c r="Q121" i="7"/>
  <c r="Q119" i="7" s="1"/>
  <c r="M121" i="7"/>
  <c r="M119" i="7" s="1"/>
  <c r="I121" i="7"/>
  <c r="I119" i="7" s="1"/>
  <c r="V121" i="7"/>
  <c r="V119" i="7" s="1"/>
  <c r="R121" i="7"/>
  <c r="R119" i="7" s="1"/>
  <c r="N121" i="7"/>
  <c r="N119" i="7" s="1"/>
  <c r="J121" i="7"/>
  <c r="J119" i="7" s="1"/>
  <c r="T110" i="7"/>
  <c r="T108" i="7" s="1"/>
  <c r="P110" i="7"/>
  <c r="P108" i="7" s="1"/>
  <c r="L110" i="7"/>
  <c r="L108" i="7" s="1"/>
  <c r="H110" i="7"/>
  <c r="H108" i="7" s="1"/>
  <c r="W97" i="7"/>
  <c r="K97" i="7"/>
  <c r="L198" i="7"/>
  <c r="N220" i="7"/>
  <c r="H31" i="9" l="1"/>
  <c r="V177" i="7"/>
  <c r="V175" i="7" s="1"/>
  <c r="U177" i="7"/>
  <c r="U175" i="7" s="1"/>
  <c r="R177" i="7"/>
  <c r="R175" i="7" s="1"/>
  <c r="Q177" i="7"/>
  <c r="Q175" i="7" s="1"/>
  <c r="N177" i="7"/>
  <c r="N175" i="7" s="1"/>
  <c r="M177" i="7"/>
  <c r="M175" i="7" s="1"/>
  <c r="J177" i="7"/>
  <c r="J175" i="7" s="1"/>
  <c r="I177" i="7"/>
  <c r="I175" i="7" s="1"/>
  <c r="W177" i="7"/>
  <c r="W175" i="7" s="1"/>
  <c r="T177" i="7"/>
  <c r="T175" i="7" s="1"/>
  <c r="S177" i="7"/>
  <c r="S175" i="7" s="1"/>
  <c r="P177" i="7"/>
  <c r="P175" i="7" s="1"/>
  <c r="O177" i="7"/>
  <c r="O175" i="7" s="1"/>
  <c r="L177" i="7"/>
  <c r="L175" i="7" s="1"/>
  <c r="K177" i="7"/>
  <c r="K175" i="7" s="1"/>
  <c r="H177" i="7"/>
  <c r="H175" i="7" s="1"/>
  <c r="G177" i="7"/>
  <c r="G175" i="7" s="1"/>
  <c r="V166" i="7"/>
  <c r="U166" i="7"/>
  <c r="U164" i="7" s="1"/>
  <c r="R166" i="7"/>
  <c r="Q166" i="7"/>
  <c r="Q164" i="7" s="1"/>
  <c r="N166" i="7"/>
  <c r="M166" i="7"/>
  <c r="M164" i="7" s="1"/>
  <c r="J166" i="7"/>
  <c r="I166" i="7"/>
  <c r="I164" i="7" s="1"/>
  <c r="W166" i="7"/>
  <c r="T166" i="7"/>
  <c r="T164" i="7" s="1"/>
  <c r="S166" i="7"/>
  <c r="S164" i="7" s="1"/>
  <c r="P166" i="7"/>
  <c r="P164" i="7" s="1"/>
  <c r="O166" i="7"/>
  <c r="O164" i="7" s="1"/>
  <c r="L166" i="7"/>
  <c r="L164" i="7" s="1"/>
  <c r="K166" i="7"/>
  <c r="K164" i="7" s="1"/>
  <c r="H166" i="7"/>
  <c r="H164" i="7" s="1"/>
  <c r="G166" i="7"/>
  <c r="G164" i="7" s="1"/>
  <c r="V155" i="7"/>
  <c r="U155" i="7"/>
  <c r="U153" i="7" s="1"/>
  <c r="R155" i="7"/>
  <c r="Q155" i="7"/>
  <c r="Q153" i="7" s="1"/>
  <c r="N155" i="7"/>
  <c r="M155" i="7"/>
  <c r="M153" i="7" s="1"/>
  <c r="J155" i="7"/>
  <c r="I155" i="7"/>
  <c r="I153" i="7" s="1"/>
  <c r="W155" i="7"/>
  <c r="W153" i="7" s="1"/>
  <c r="T155" i="7"/>
  <c r="T153" i="7" s="1"/>
  <c r="S155" i="7"/>
  <c r="S153" i="7" s="1"/>
  <c r="P155" i="7"/>
  <c r="P153" i="7" s="1"/>
  <c r="O155" i="7"/>
  <c r="O153" i="7" s="1"/>
  <c r="L155" i="7"/>
  <c r="L153" i="7" s="1"/>
  <c r="K155" i="7"/>
  <c r="K153" i="7" s="1"/>
  <c r="H155" i="7"/>
  <c r="H153" i="7" s="1"/>
  <c r="G155" i="7"/>
  <c r="G153" i="7" s="1"/>
  <c r="V144" i="7"/>
  <c r="U144" i="7"/>
  <c r="U142" i="7" s="1"/>
  <c r="R144" i="7"/>
  <c r="Q144" i="7"/>
  <c r="Q142" i="7" s="1"/>
  <c r="N144" i="7"/>
  <c r="M144" i="7"/>
  <c r="M142" i="7" s="1"/>
  <c r="J144" i="7"/>
  <c r="I144" i="7"/>
  <c r="I142" i="7" s="1"/>
  <c r="F144" i="7"/>
  <c r="W144" i="7"/>
  <c r="W142" i="7" s="1"/>
  <c r="T144" i="7"/>
  <c r="T142" i="7" s="1"/>
  <c r="S144" i="7"/>
  <c r="S142" i="7" s="1"/>
  <c r="P144" i="7"/>
  <c r="P142" i="7" s="1"/>
  <c r="O144" i="7"/>
  <c r="O142" i="7" s="1"/>
  <c r="L144" i="7"/>
  <c r="L142" i="7" s="1"/>
  <c r="K144" i="7"/>
  <c r="K142" i="7" s="1"/>
  <c r="H144" i="7"/>
  <c r="H142" i="7" s="1"/>
  <c r="G144" i="7"/>
  <c r="G142" i="7" s="1"/>
  <c r="F142" i="7" l="1"/>
  <c r="J142" i="7"/>
  <c r="N142" i="7"/>
  <c r="R142" i="7"/>
  <c r="V142" i="7"/>
  <c r="J153" i="7"/>
  <c r="N153" i="7"/>
  <c r="R153" i="7"/>
  <c r="V153" i="7"/>
  <c r="J164" i="7"/>
  <c r="N164" i="7"/>
  <c r="R164" i="7"/>
  <c r="F132" i="7" l="1"/>
  <c r="F130" i="7" s="1"/>
  <c r="F121" i="7"/>
  <c r="F119" i="7" s="1"/>
  <c r="F110" i="7"/>
  <c r="F108" i="7" s="1"/>
  <c r="F99" i="7" l="1"/>
  <c r="F97" i="7" s="1"/>
  <c r="U256" i="7"/>
  <c r="U254" i="7" s="1"/>
  <c r="Q256" i="7"/>
  <c r="Q254" i="7" s="1"/>
  <c r="M256" i="7"/>
  <c r="M254" i="7" s="1"/>
  <c r="I256" i="7"/>
  <c r="I254" i="7" s="1"/>
  <c r="U234" i="7"/>
  <c r="U232" i="7" s="1"/>
  <c r="Q234" i="7"/>
  <c r="Q232" i="7" s="1"/>
  <c r="M234" i="7"/>
  <c r="M232" i="7" s="1"/>
  <c r="I234" i="7"/>
  <c r="I232" i="7" s="1"/>
  <c r="V256" i="7"/>
  <c r="V254" i="7" s="1"/>
  <c r="R256" i="7"/>
  <c r="R254" i="7" s="1"/>
  <c r="N256" i="7"/>
  <c r="N254" i="7" s="1"/>
  <c r="J256" i="7"/>
  <c r="F256" i="7"/>
  <c r="V234" i="7"/>
  <c r="V232" i="7" s="1"/>
  <c r="R234" i="7"/>
  <c r="R232" i="7" s="1"/>
  <c r="N234" i="7"/>
  <c r="N232" i="7" s="1"/>
  <c r="J234" i="7"/>
  <c r="J232" i="7" s="1"/>
  <c r="F234" i="7"/>
  <c r="F232" i="7" s="1"/>
  <c r="T267" i="7"/>
  <c r="T265" i="7" s="1"/>
  <c r="P267" i="7"/>
  <c r="P265" i="7" s="1"/>
  <c r="L267" i="7"/>
  <c r="L265" i="7" s="1"/>
  <c r="H267" i="7"/>
  <c r="H265" i="7" s="1"/>
  <c r="V267" i="7"/>
  <c r="V265" i="7" s="1"/>
  <c r="R267" i="7"/>
  <c r="R265" i="7" s="1"/>
  <c r="N267" i="7"/>
  <c r="N265" i="7" s="1"/>
  <c r="J267" i="7"/>
  <c r="J265" i="7" s="1"/>
  <c r="F267" i="7"/>
  <c r="F265" i="7" s="1"/>
  <c r="T245" i="7"/>
  <c r="T243" i="7" s="1"/>
  <c r="P245" i="7"/>
  <c r="P243" i="7" s="1"/>
  <c r="L245" i="7"/>
  <c r="L243" i="7" s="1"/>
  <c r="H245" i="7"/>
  <c r="H243" i="7" s="1"/>
  <c r="V245" i="7"/>
  <c r="V243" i="7" s="1"/>
  <c r="R245" i="7"/>
  <c r="R243" i="7" s="1"/>
  <c r="N245" i="7"/>
  <c r="N243" i="7" s="1"/>
  <c r="J245" i="7"/>
  <c r="J243" i="7" s="1"/>
  <c r="F245" i="7"/>
  <c r="F243" i="7" s="1"/>
  <c r="S256" i="7"/>
  <c r="S254" i="7" s="1"/>
  <c r="O256" i="7"/>
  <c r="O254" i="7" s="1"/>
  <c r="K256" i="7"/>
  <c r="K254" i="7" s="1"/>
  <c r="G256" i="7"/>
  <c r="G254" i="7" s="1"/>
  <c r="W234" i="7"/>
  <c r="W232" i="7" s="1"/>
  <c r="S234" i="7"/>
  <c r="S232" i="7" s="1"/>
  <c r="O234" i="7"/>
  <c r="O232" i="7" s="1"/>
  <c r="K234" i="7"/>
  <c r="K232" i="7" s="1"/>
  <c r="G234" i="7"/>
  <c r="G232" i="7" s="1"/>
  <c r="W267" i="7"/>
  <c r="W265" i="7" s="1"/>
  <c r="S267" i="7"/>
  <c r="S265" i="7" s="1"/>
  <c r="O267" i="7"/>
  <c r="O265" i="7" s="1"/>
  <c r="K267" i="7"/>
  <c r="K265" i="7" s="1"/>
  <c r="G267" i="7"/>
  <c r="G265" i="7" s="1"/>
  <c r="W245" i="7"/>
  <c r="W243" i="7" s="1"/>
  <c r="S245" i="7"/>
  <c r="S243" i="7" s="1"/>
  <c r="O245" i="7"/>
  <c r="O243" i="7" s="1"/>
  <c r="K245" i="7"/>
  <c r="K243" i="7" s="1"/>
  <c r="G245" i="7"/>
  <c r="G243" i="7" s="1"/>
  <c r="U245" i="7"/>
  <c r="U243" i="7" s="1"/>
  <c r="Q245" i="7"/>
  <c r="Q243" i="7" s="1"/>
  <c r="M245" i="7"/>
  <c r="M243" i="7" s="1"/>
  <c r="I245" i="7"/>
  <c r="I243" i="7" s="1"/>
  <c r="J254" i="7"/>
  <c r="F254" i="7"/>
  <c r="T256" i="7"/>
  <c r="T254" i="7" s="1"/>
  <c r="P256" i="7"/>
  <c r="P254" i="7" s="1"/>
  <c r="L256" i="7"/>
  <c r="L254" i="7" s="1"/>
  <c r="H256" i="7"/>
  <c r="H254" i="7" s="1"/>
  <c r="T234" i="7"/>
  <c r="T232" i="7" s="1"/>
  <c r="P234" i="7"/>
  <c r="P232" i="7" s="1"/>
  <c r="L234" i="7"/>
  <c r="L232" i="7" s="1"/>
  <c r="H234" i="7"/>
  <c r="H232" i="7" s="1"/>
  <c r="U267" i="7"/>
  <c r="U265" i="7" s="1"/>
  <c r="M267" i="7"/>
  <c r="M265" i="7" s="1"/>
  <c r="I267" i="7"/>
  <c r="I265" i="7" s="1"/>
  <c r="Q267" i="7"/>
  <c r="Q265" i="7" s="1"/>
  <c r="W256" i="7"/>
  <c r="W254" i="7" s="1"/>
  <c r="G71" i="9"/>
  <c r="G69" i="9"/>
  <c r="G67" i="9"/>
  <c r="G51" i="9"/>
  <c r="G35" i="9"/>
  <c r="G33" i="9"/>
  <c r="G32" i="9"/>
  <c r="G16" i="9"/>
  <c r="K14" i="9"/>
  <c r="G18" i="9" l="1"/>
  <c r="E18" i="9" s="1"/>
  <c r="N18" i="9" s="1"/>
  <c r="G37" i="9"/>
  <c r="G34" i="9"/>
  <c r="E34" i="9" s="1"/>
  <c r="N34" i="9" s="1"/>
  <c r="G50" i="9"/>
  <c r="E50" i="9" s="1"/>
  <c r="N50" i="9" s="1"/>
  <c r="G68" i="9"/>
  <c r="E68" i="9" s="1"/>
  <c r="N68" i="9" s="1"/>
  <c r="G66" i="9"/>
  <c r="H201" i="8"/>
  <c r="H199" i="8" s="1"/>
  <c r="P201" i="8"/>
  <c r="P199" i="8" s="1"/>
  <c r="T201" i="8"/>
  <c r="T199" i="8" s="1"/>
  <c r="F201" i="8"/>
  <c r="F199" i="8" s="1"/>
  <c r="J201" i="8"/>
  <c r="J199" i="8" s="1"/>
  <c r="N201" i="8"/>
  <c r="N199" i="8" s="1"/>
  <c r="R201" i="8"/>
  <c r="R199" i="8" s="1"/>
  <c r="V201" i="8"/>
  <c r="V199" i="8" s="1"/>
  <c r="F14" i="9"/>
  <c r="L14" i="9"/>
  <c r="G52" i="9"/>
  <c r="E52" i="9" s="1"/>
  <c r="N52" i="9" s="1"/>
  <c r="G54" i="9"/>
  <c r="E54" i="9" s="1"/>
  <c r="N54" i="9" s="1"/>
  <c r="G15" i="9"/>
  <c r="J14" i="9"/>
  <c r="K224" i="8"/>
  <c r="K222" i="8" s="1"/>
  <c r="I212" i="8"/>
  <c r="I210" i="8" s="1"/>
  <c r="M212" i="8"/>
  <c r="M210" i="8" s="1"/>
  <c r="I65" i="8"/>
  <c r="I63" i="8" s="1"/>
  <c r="Q65" i="8"/>
  <c r="U65" i="8"/>
  <c r="U63" i="8" s="1"/>
  <c r="G65" i="8"/>
  <c r="G63" i="8" s="1"/>
  <c r="K65" i="8"/>
  <c r="K63" i="8" s="1"/>
  <c r="O65" i="8"/>
  <c r="O63" i="8" s="1"/>
  <c r="U9" i="8"/>
  <c r="U7" i="8" s="1"/>
  <c r="I14" i="9"/>
  <c r="M14" i="9"/>
  <c r="H14" i="9"/>
  <c r="G17" i="9"/>
  <c r="E17" i="9" s="1"/>
  <c r="N17" i="9" s="1"/>
  <c r="G20" i="9"/>
  <c r="G49" i="9"/>
  <c r="E35" i="9"/>
  <c r="N35" i="9" s="1"/>
  <c r="E33" i="9"/>
  <c r="N33" i="9" s="1"/>
  <c r="E67" i="9"/>
  <c r="N67" i="9" s="1"/>
  <c r="E51" i="9"/>
  <c r="N51" i="9" s="1"/>
  <c r="E69" i="9"/>
  <c r="N69" i="9" s="1"/>
  <c r="E16" i="9"/>
  <c r="N16" i="9" s="1"/>
  <c r="U43" i="8"/>
  <c r="U41" i="8" s="1"/>
  <c r="Q76" i="8"/>
  <c r="Q74" i="8" s="1"/>
  <c r="N9" i="8"/>
  <c r="N7" i="8" s="1"/>
  <c r="G20" i="8"/>
  <c r="G18" i="8" s="1"/>
  <c r="K20" i="8"/>
  <c r="K18" i="8" s="1"/>
  <c r="F54" i="8"/>
  <c r="F52" i="8" s="1"/>
  <c r="J54" i="8"/>
  <c r="V54" i="8"/>
  <c r="V52" i="8" s="1"/>
  <c r="P54" i="8"/>
  <c r="P52" i="8" s="1"/>
  <c r="H65" i="8"/>
  <c r="H63" i="8" s="1"/>
  <c r="L65" i="8"/>
  <c r="L63" i="8" s="1"/>
  <c r="P65" i="8"/>
  <c r="P63" i="8" s="1"/>
  <c r="T65" i="8"/>
  <c r="T63" i="8" s="1"/>
  <c r="J65" i="8"/>
  <c r="J63" i="8" s="1"/>
  <c r="N65" i="8"/>
  <c r="N63" i="8" s="1"/>
  <c r="R65" i="8"/>
  <c r="R63" i="8" s="1"/>
  <c r="I76" i="8"/>
  <c r="I74" i="8" s="1"/>
  <c r="M76" i="8"/>
  <c r="M74" i="8" s="1"/>
  <c r="U76" i="8"/>
  <c r="U74" i="8" s="1"/>
  <c r="H9" i="8"/>
  <c r="H7" i="8" s="1"/>
  <c r="L9" i="8"/>
  <c r="L7" i="8" s="1"/>
  <c r="P9" i="8"/>
  <c r="P7" i="8" s="1"/>
  <c r="T9" i="8"/>
  <c r="T7" i="8" s="1"/>
  <c r="F9" i="8"/>
  <c r="F7" i="8" s="1"/>
  <c r="R9" i="8"/>
  <c r="R7" i="8" s="1"/>
  <c r="H31" i="8"/>
  <c r="H29" i="8" s="1"/>
  <c r="L31" i="8"/>
  <c r="L29" i="8" s="1"/>
  <c r="P31" i="8"/>
  <c r="P29" i="8" s="1"/>
  <c r="T31" i="8"/>
  <c r="T29" i="8" s="1"/>
  <c r="I43" i="8"/>
  <c r="I41" i="8" s="1"/>
  <c r="M43" i="8"/>
  <c r="M41" i="8" s="1"/>
  <c r="G54" i="8"/>
  <c r="G52" i="8" s="1"/>
  <c r="K54" i="8"/>
  <c r="K52" i="8" s="1"/>
  <c r="O54" i="8"/>
  <c r="O52" i="8" s="1"/>
  <c r="S54" i="8"/>
  <c r="S52" i="8" s="1"/>
  <c r="W54" i="8"/>
  <c r="W52" i="8" s="1"/>
  <c r="F224" i="8"/>
  <c r="F222" i="8" s="1"/>
  <c r="I9" i="8"/>
  <c r="I7" i="8" s="1"/>
  <c r="M9" i="8"/>
  <c r="M7" i="8" s="1"/>
  <c r="F31" i="8"/>
  <c r="F29" i="8" s="1"/>
  <c r="J31" i="8"/>
  <c r="J29" i="8" s="1"/>
  <c r="N31" i="8"/>
  <c r="N29" i="8" s="1"/>
  <c r="R31" i="8"/>
  <c r="R29" i="8" s="1"/>
  <c r="I54" i="8"/>
  <c r="I52" i="8" s="1"/>
  <c r="M54" i="8"/>
  <c r="M52" i="8" s="1"/>
  <c r="Q54" i="8"/>
  <c r="Q52" i="8" s="1"/>
  <c r="U54" i="8"/>
  <c r="U52" i="8" s="1"/>
  <c r="G201" i="8"/>
  <c r="G199" i="8" s="1"/>
  <c r="K201" i="8"/>
  <c r="K199" i="8" s="1"/>
  <c r="O201" i="8"/>
  <c r="O199" i="8" s="1"/>
  <c r="S201" i="8"/>
  <c r="S199" i="8" s="1"/>
  <c r="W201" i="8"/>
  <c r="W199" i="8" s="1"/>
  <c r="P20" i="8"/>
  <c r="P18" i="8" s="1"/>
  <c r="J43" i="8"/>
  <c r="J41" i="8" s="1"/>
  <c r="N43" i="8"/>
  <c r="N41" i="8" s="1"/>
  <c r="V43" i="8"/>
  <c r="V41" i="8" s="1"/>
  <c r="J76" i="8"/>
  <c r="J74" i="8" s="1"/>
  <c r="O20" i="8"/>
  <c r="O18" i="8" s="1"/>
  <c r="S20" i="8"/>
  <c r="S18" i="8" s="1"/>
  <c r="Q63" i="8"/>
  <c r="H20" i="8"/>
  <c r="H18" i="8" s="1"/>
  <c r="L20" i="8"/>
  <c r="L18" i="8" s="1"/>
  <c r="T20" i="8"/>
  <c r="T18" i="8" s="1"/>
  <c r="F20" i="8"/>
  <c r="F18" i="8" s="1"/>
  <c r="J20" i="8"/>
  <c r="J18" i="8" s="1"/>
  <c r="N20" i="8"/>
  <c r="N18" i="8" s="1"/>
  <c r="M65" i="8"/>
  <c r="M63" i="8" s="1"/>
  <c r="G212" i="8"/>
  <c r="G210" i="8" s="1"/>
  <c r="U212" i="8"/>
  <c r="U210" i="8" s="1"/>
  <c r="J224" i="8"/>
  <c r="J222" i="8" s="1"/>
  <c r="R224" i="8"/>
  <c r="R222" i="8" s="1"/>
  <c r="G31" i="8"/>
  <c r="G29" i="8" s="1"/>
  <c r="K31" i="8"/>
  <c r="K29" i="8" s="1"/>
  <c r="O31" i="8"/>
  <c r="O29" i="8" s="1"/>
  <c r="S31" i="8"/>
  <c r="S29" i="8" s="1"/>
  <c r="W31" i="8"/>
  <c r="W29" i="8" s="1"/>
  <c r="I31" i="8"/>
  <c r="I29" i="8" s="1"/>
  <c r="M31" i="8"/>
  <c r="M29" i="8" s="1"/>
  <c r="Q31" i="8"/>
  <c r="Q29" i="8" s="1"/>
  <c r="U31" i="8"/>
  <c r="U29" i="8" s="1"/>
  <c r="L76" i="8"/>
  <c r="L74" i="8" s="1"/>
  <c r="H212" i="8"/>
  <c r="H210" i="8" s="1"/>
  <c r="L212" i="8"/>
  <c r="L210" i="8" s="1"/>
  <c r="P212" i="8"/>
  <c r="P210" i="8" s="1"/>
  <c r="T212" i="8"/>
  <c r="T210" i="8" s="1"/>
  <c r="F212" i="8"/>
  <c r="F210" i="8" s="1"/>
  <c r="J212" i="8"/>
  <c r="J210" i="8" s="1"/>
  <c r="N212" i="8"/>
  <c r="N210" i="8" s="1"/>
  <c r="R212" i="8"/>
  <c r="R210" i="8" s="1"/>
  <c r="V212" i="8"/>
  <c r="V210" i="8" s="1"/>
  <c r="G43" i="8"/>
  <c r="G41" i="8" s="1"/>
  <c r="K43" i="8"/>
  <c r="K41" i="8" s="1"/>
  <c r="O43" i="8"/>
  <c r="O41" i="8" s="1"/>
  <c r="S43" i="8"/>
  <c r="S41" i="8" s="1"/>
  <c r="W43" i="8"/>
  <c r="W41" i="8" s="1"/>
  <c r="Q43" i="8"/>
  <c r="Q41" i="8" s="1"/>
  <c r="J52" i="8"/>
  <c r="H54" i="8"/>
  <c r="H52" i="8" s="1"/>
  <c r="L54" i="8"/>
  <c r="L52" i="8" s="1"/>
  <c r="T54" i="8"/>
  <c r="T52" i="8" s="1"/>
  <c r="N54" i="8"/>
  <c r="N52" i="8" s="1"/>
  <c r="R54" i="8"/>
  <c r="R52" i="8" s="1"/>
  <c r="F76" i="8"/>
  <c r="F74" i="8" s="1"/>
  <c r="N76" i="8"/>
  <c r="N74" i="8" s="1"/>
  <c r="R76" i="8"/>
  <c r="R74" i="8" s="1"/>
  <c r="V76" i="8"/>
  <c r="V74" i="8" s="1"/>
  <c r="H76" i="8"/>
  <c r="H74" i="8" s="1"/>
  <c r="P76" i="8"/>
  <c r="P74" i="8" s="1"/>
  <c r="L201" i="8"/>
  <c r="L199" i="8" s="1"/>
  <c r="Q212" i="8"/>
  <c r="Q210" i="8" s="1"/>
  <c r="K212" i="8"/>
  <c r="K210" i="8" s="1"/>
  <c r="S212" i="8"/>
  <c r="S210" i="8" s="1"/>
  <c r="J9" i="8"/>
  <c r="J7" i="8" s="1"/>
  <c r="V9" i="8"/>
  <c r="V7" i="8" s="1"/>
  <c r="G9" i="8"/>
  <c r="G7" i="8" s="1"/>
  <c r="K9" i="8"/>
  <c r="K7" i="8" s="1"/>
  <c r="O9" i="8"/>
  <c r="O7" i="8" s="1"/>
  <c r="S9" i="8"/>
  <c r="S7" i="8" s="1"/>
  <c r="W9" i="8"/>
  <c r="W7" i="8" s="1"/>
  <c r="Q9" i="8"/>
  <c r="Q7" i="8" s="1"/>
  <c r="R20" i="8"/>
  <c r="R18" i="8" s="1"/>
  <c r="V31" i="8"/>
  <c r="V29" i="8" s="1"/>
  <c r="H43" i="8"/>
  <c r="H41" i="8" s="1"/>
  <c r="L43" i="8"/>
  <c r="L41" i="8" s="1"/>
  <c r="P43" i="8"/>
  <c r="P41" i="8" s="1"/>
  <c r="T43" i="8"/>
  <c r="T41" i="8" s="1"/>
  <c r="F43" i="8"/>
  <c r="F41" i="8" s="1"/>
  <c r="R43" i="8"/>
  <c r="R41" i="8" s="1"/>
  <c r="F65" i="8"/>
  <c r="F63" i="8" s="1"/>
  <c r="V65" i="8"/>
  <c r="V63" i="8" s="1"/>
  <c r="I224" i="8"/>
  <c r="I222" i="8" s="1"/>
  <c r="M224" i="8"/>
  <c r="M222" i="8" s="1"/>
  <c r="Q224" i="8"/>
  <c r="Q222" i="8" s="1"/>
  <c r="U224" i="8"/>
  <c r="U222" i="8" s="1"/>
  <c r="G224" i="8"/>
  <c r="G222" i="8" s="1"/>
  <c r="O224" i="8"/>
  <c r="O222" i="8" s="1"/>
  <c r="S224" i="8"/>
  <c r="S222" i="8" s="1"/>
  <c r="I20" i="8"/>
  <c r="I18" i="8" s="1"/>
  <c r="M20" i="8"/>
  <c r="M18" i="8" s="1"/>
  <c r="Q20" i="8"/>
  <c r="Q18" i="8" s="1"/>
  <c r="U20" i="8"/>
  <c r="U18" i="8" s="1"/>
  <c r="T76" i="8"/>
  <c r="T74" i="8" s="1"/>
  <c r="S65" i="8"/>
  <c r="S63" i="8" s="1"/>
  <c r="W65" i="8"/>
  <c r="W63" i="8" s="1"/>
  <c r="G76" i="8"/>
  <c r="G74" i="8" s="1"/>
  <c r="K76" i="8"/>
  <c r="K74" i="8" s="1"/>
  <c r="O76" i="8"/>
  <c r="O74" i="8" s="1"/>
  <c r="S76" i="8"/>
  <c r="S74" i="8" s="1"/>
  <c r="W76" i="8"/>
  <c r="W74" i="8" s="1"/>
  <c r="I201" i="8"/>
  <c r="I199" i="8" s="1"/>
  <c r="M201" i="8"/>
  <c r="M199" i="8" s="1"/>
  <c r="Q201" i="8"/>
  <c r="Q199" i="8" s="1"/>
  <c r="U201" i="8"/>
  <c r="U199" i="8" s="1"/>
  <c r="O212" i="8"/>
  <c r="O210" i="8" s="1"/>
  <c r="W212" i="8"/>
  <c r="W210" i="8" s="1"/>
  <c r="H224" i="8"/>
  <c r="H222" i="8" s="1"/>
  <c r="L224" i="8"/>
  <c r="L222" i="8" s="1"/>
  <c r="P224" i="8"/>
  <c r="P222" i="8" s="1"/>
  <c r="T224" i="8"/>
  <c r="T222" i="8" s="1"/>
  <c r="N224" i="8"/>
  <c r="N222" i="8" s="1"/>
  <c r="G65" i="9" l="1"/>
  <c r="E65" i="9" s="1"/>
  <c r="N65" i="9" s="1"/>
  <c r="E66" i="9"/>
  <c r="N66" i="9" s="1"/>
  <c r="E49" i="9"/>
  <c r="N49" i="9" s="1"/>
  <c r="G48" i="9"/>
  <c r="E48" i="9" s="1"/>
  <c r="N48" i="9" s="1"/>
  <c r="G14" i="9"/>
  <c r="E37" i="9"/>
  <c r="N37" i="9" s="1"/>
  <c r="E71" i="9"/>
  <c r="N71" i="9" s="1"/>
  <c r="G31" i="9"/>
  <c r="E31" i="9" s="1"/>
  <c r="N31" i="9" s="1"/>
  <c r="E20" i="9"/>
  <c r="N20" i="9" s="1"/>
  <c r="E32" i="9"/>
  <c r="N32" i="9" s="1"/>
  <c r="E15" i="9"/>
  <c r="N15" i="9" s="1"/>
  <c r="E14" i="9" l="1"/>
  <c r="N14" i="9" s="1"/>
  <c r="P312" i="7" l="1"/>
  <c r="F63" i="9"/>
  <c r="F72" i="9" s="1"/>
  <c r="L301" i="7"/>
  <c r="K301" i="7"/>
  <c r="T290" i="7"/>
  <c r="S290" i="7"/>
  <c r="R290" i="7"/>
  <c r="H290" i="7"/>
  <c r="G290" i="7"/>
  <c r="P279" i="7"/>
  <c r="O279" i="7"/>
  <c r="F29" i="9"/>
  <c r="F38" i="9" s="1"/>
  <c r="J301" i="7" l="1"/>
  <c r="L279" i="7"/>
  <c r="L277" i="7" s="1"/>
  <c r="L299" i="7"/>
  <c r="T301" i="7"/>
  <c r="T299" i="7" s="1"/>
  <c r="P310" i="7"/>
  <c r="L312" i="7"/>
  <c r="L310" i="7" s="1"/>
  <c r="T312" i="7"/>
  <c r="T310" i="7" s="1"/>
  <c r="U290" i="7"/>
  <c r="U288" i="7" s="1"/>
  <c r="M301" i="7"/>
  <c r="M299" i="7" s="1"/>
  <c r="M312" i="7"/>
  <c r="M310" i="7" s="1"/>
  <c r="U312" i="7"/>
  <c r="U310" i="7" s="1"/>
  <c r="N301" i="7"/>
  <c r="N299" i="7" s="1"/>
  <c r="K290" i="7"/>
  <c r="K288" i="7" s="1"/>
  <c r="O301" i="7"/>
  <c r="O299" i="7" s="1"/>
  <c r="S312" i="7"/>
  <c r="S310" i="7" s="1"/>
  <c r="L290" i="7"/>
  <c r="L288" i="7" s="1"/>
  <c r="H312" i="7"/>
  <c r="H310" i="7" s="1"/>
  <c r="I279" i="7"/>
  <c r="I277" i="7" s="1"/>
  <c r="U279" i="7"/>
  <c r="U277" i="7" s="1"/>
  <c r="M290" i="7"/>
  <c r="M288" i="7" s="1"/>
  <c r="Q301" i="7"/>
  <c r="Q299" i="7" s="1"/>
  <c r="I312" i="7"/>
  <c r="I310" i="7" s="1"/>
  <c r="J279" i="7"/>
  <c r="J277" i="7" s="1"/>
  <c r="V279" i="7"/>
  <c r="R301" i="7"/>
  <c r="R299" i="7" s="1"/>
  <c r="J312" i="7"/>
  <c r="J310" i="7" s="1"/>
  <c r="R279" i="7"/>
  <c r="R277" i="7" s="1"/>
  <c r="V290" i="7"/>
  <c r="V288" i="7" s="1"/>
  <c r="G312" i="7"/>
  <c r="G310" i="7" s="1"/>
  <c r="T279" i="7"/>
  <c r="T277" i="7" s="1"/>
  <c r="P301" i="7"/>
  <c r="P299" i="7" s="1"/>
  <c r="G301" i="7"/>
  <c r="G299" i="7" s="1"/>
  <c r="S301" i="7"/>
  <c r="S299" i="7" s="1"/>
  <c r="K312" i="7"/>
  <c r="K310" i="7" s="1"/>
  <c r="J290" i="7"/>
  <c r="J288" i="7" s="1"/>
  <c r="R312" i="7"/>
  <c r="R310" i="7" s="1"/>
  <c r="G279" i="7"/>
  <c r="G277" i="7" s="1"/>
  <c r="O290" i="7"/>
  <c r="O288" i="7" s="1"/>
  <c r="K299" i="7"/>
  <c r="P290" i="7"/>
  <c r="P288" i="7" s="1"/>
  <c r="H301" i="7"/>
  <c r="H299" i="7" s="1"/>
  <c r="S279" i="7"/>
  <c r="S277" i="7" s="1"/>
  <c r="H279" i="7"/>
  <c r="H277" i="7" s="1"/>
  <c r="K279" i="7"/>
  <c r="K277" i="7" s="1"/>
  <c r="M279" i="7"/>
  <c r="M277" i="7" s="1"/>
  <c r="U301" i="7"/>
  <c r="U299" i="7" s="1"/>
  <c r="W290" i="7"/>
  <c r="W288" i="7" s="1"/>
  <c r="V312" i="7"/>
  <c r="V310" i="7" s="1"/>
  <c r="O312" i="7"/>
  <c r="O310" i="7" s="1"/>
  <c r="N312" i="7"/>
  <c r="N310" i="7" s="1"/>
  <c r="G53" i="9"/>
  <c r="E53" i="9" s="1"/>
  <c r="N53" i="9" s="1"/>
  <c r="G70" i="9"/>
  <c r="E70" i="9" s="1"/>
  <c r="N70" i="9" s="1"/>
  <c r="W312" i="7"/>
  <c r="W310" i="7" s="1"/>
  <c r="N290" i="7"/>
  <c r="N288" i="7" s="1"/>
  <c r="Q279" i="7"/>
  <c r="Q277" i="7" s="1"/>
  <c r="I301" i="7"/>
  <c r="I299" i="7" s="1"/>
  <c r="Q290" i="7"/>
  <c r="Q288" i="7" s="1"/>
  <c r="Q312" i="7"/>
  <c r="Q310" i="7" s="1"/>
  <c r="P277" i="7"/>
  <c r="H288" i="7"/>
  <c r="I290" i="7"/>
  <c r="I288" i="7" s="1"/>
  <c r="N279" i="7"/>
  <c r="N277" i="7" s="1"/>
  <c r="V301" i="7"/>
  <c r="V299" i="7" s="1"/>
  <c r="G36" i="9"/>
  <c r="E36" i="9" s="1"/>
  <c r="N36" i="9" s="1"/>
  <c r="W279" i="7"/>
  <c r="W277" i="7" s="1"/>
  <c r="F12" i="9"/>
  <c r="F21" i="9" s="1"/>
  <c r="F46" i="9"/>
  <c r="F55" i="9" s="1"/>
  <c r="W301" i="7"/>
  <c r="W299" i="7" s="1"/>
  <c r="J299" i="7"/>
  <c r="F279" i="7"/>
  <c r="F277" i="7" s="1"/>
  <c r="V277" i="7"/>
  <c r="T288" i="7"/>
  <c r="R288" i="7"/>
  <c r="O277" i="7"/>
  <c r="S288" i="7"/>
  <c r="F290" i="7"/>
  <c r="F288" i="7" s="1"/>
  <c r="G288" i="7"/>
  <c r="F301" i="7"/>
  <c r="F299" i="7" s="1"/>
  <c r="F312" i="7"/>
  <c r="F310" i="7" s="1"/>
  <c r="G19" i="9" l="1"/>
  <c r="E19" i="9" s="1"/>
  <c r="N19" i="9" s="1"/>
  <c r="N87" i="7" l="1"/>
  <c r="N85" i="7" s="1"/>
  <c r="M87" i="7"/>
  <c r="M85" i="7" s="1"/>
  <c r="S87" i="7"/>
  <c r="S85" i="7" s="1"/>
  <c r="R87" i="7"/>
  <c r="Q87" i="7"/>
  <c r="Q85" i="7" s="1"/>
  <c r="O87" i="7"/>
  <c r="O85" i="7" s="1"/>
  <c r="V87" i="7"/>
  <c r="U87" i="7"/>
  <c r="U85" i="7" s="1"/>
  <c r="P76" i="7"/>
  <c r="O76" i="7"/>
  <c r="L76" i="7"/>
  <c r="L74" i="7" s="1"/>
  <c r="G76" i="7"/>
  <c r="V76" i="7"/>
  <c r="U76" i="7"/>
  <c r="S76" i="7"/>
  <c r="R76" i="7"/>
  <c r="N76" i="7"/>
  <c r="K76" i="7"/>
  <c r="T76" i="7"/>
  <c r="T74" i="7" s="1"/>
  <c r="H76" i="7"/>
  <c r="T65" i="7"/>
  <c r="R65" i="7"/>
  <c r="O65" i="7"/>
  <c r="O63" i="7" s="1"/>
  <c r="V65" i="7"/>
  <c r="U65" i="7"/>
  <c r="U63" i="7" s="1"/>
  <c r="I65" i="7"/>
  <c r="I63" i="7" s="1"/>
  <c r="P54" i="7"/>
  <c r="L54" i="7"/>
  <c r="L52" i="7" s="1"/>
  <c r="H54" i="7"/>
  <c r="H52" i="7" s="1"/>
  <c r="G54" i="7"/>
  <c r="G52" i="7" s="1"/>
  <c r="V54" i="7"/>
  <c r="V52" i="7" s="1"/>
  <c r="U54" i="7"/>
  <c r="T54" i="7"/>
  <c r="T52" i="7" s="1"/>
  <c r="S54" i="7"/>
  <c r="Q54" i="7"/>
  <c r="N54" i="7"/>
  <c r="N52" i="7" s="1"/>
  <c r="I54" i="7"/>
  <c r="I52" i="7" s="1"/>
  <c r="T63" i="7" l="1"/>
  <c r="S74" i="7"/>
  <c r="S52" i="7"/>
  <c r="V85" i="7"/>
  <c r="V63" i="7"/>
  <c r="U74" i="7"/>
  <c r="U52" i="7"/>
  <c r="T87" i="7"/>
  <c r="T85" i="7" s="1"/>
  <c r="R63" i="7"/>
  <c r="R74" i="7"/>
  <c r="S65" i="7"/>
  <c r="Q65" i="7"/>
  <c r="Q63" i="7" s="1"/>
  <c r="Q52" i="7"/>
  <c r="R85" i="7"/>
  <c r="R54" i="7"/>
  <c r="R52" i="7" s="1"/>
  <c r="Q76" i="7"/>
  <c r="Q74" i="7" s="1"/>
  <c r="P52" i="7"/>
  <c r="P74" i="7"/>
  <c r="P87" i="7"/>
  <c r="P85" i="7" s="1"/>
  <c r="P65" i="7"/>
  <c r="P63" i="7" s="1"/>
  <c r="O74" i="7"/>
  <c r="O54" i="7"/>
  <c r="O52" i="7" s="1"/>
  <c r="N65" i="7"/>
  <c r="N63" i="7" s="1"/>
  <c r="M54" i="7"/>
  <c r="M52" i="7" s="1"/>
  <c r="N74" i="7"/>
  <c r="L65" i="7"/>
  <c r="L63" i="7" s="1"/>
  <c r="M76" i="7"/>
  <c r="M74" i="7" s="1"/>
  <c r="M65" i="7"/>
  <c r="M63" i="7" s="1"/>
  <c r="K74" i="7"/>
  <c r="K87" i="7"/>
  <c r="K85" i="7" s="1"/>
  <c r="L87" i="7"/>
  <c r="L85" i="7" s="1"/>
  <c r="J87" i="7"/>
  <c r="J85" i="7" s="1"/>
  <c r="K54" i="7"/>
  <c r="K52" i="7" s="1"/>
  <c r="K65" i="7"/>
  <c r="K63" i="7" s="1"/>
  <c r="J54" i="7"/>
  <c r="J52" i="7" s="1"/>
  <c r="J65" i="7"/>
  <c r="J63" i="7" s="1"/>
  <c r="J76" i="7"/>
  <c r="J74" i="7" s="1"/>
  <c r="I87" i="7"/>
  <c r="I85" i="7" s="1"/>
  <c r="H74" i="7"/>
  <c r="I76" i="7"/>
  <c r="I74" i="7" s="1"/>
  <c r="H87" i="7"/>
  <c r="H85" i="7" s="1"/>
  <c r="H65" i="7"/>
  <c r="H63" i="7" s="1"/>
  <c r="G74" i="7"/>
  <c r="G65" i="7"/>
  <c r="G63" i="7" s="1"/>
  <c r="S63" i="7" l="1"/>
  <c r="L63" i="9"/>
  <c r="L72" i="9" s="1"/>
  <c r="K63" i="9"/>
  <c r="K72" i="9" s="1"/>
  <c r="J63" i="9"/>
  <c r="J72" i="9" s="1"/>
  <c r="I63" i="9"/>
  <c r="I72" i="9" s="1"/>
  <c r="K12" i="9"/>
  <c r="K21" i="9" s="1"/>
  <c r="K29" i="9"/>
  <c r="K38" i="9" s="1"/>
  <c r="R20" i="7" l="1"/>
  <c r="J20" i="7"/>
  <c r="S20" i="7"/>
  <c r="S18" i="7" s="1"/>
  <c r="L29" i="9"/>
  <c r="L38" i="9" s="1"/>
  <c r="L46" i="9"/>
  <c r="L55" i="9" s="1"/>
  <c r="O42" i="7"/>
  <c r="O40" i="7" s="1"/>
  <c r="Q20" i="7"/>
  <c r="Q18" i="7" s="1"/>
  <c r="R18" i="7"/>
  <c r="L12" i="9"/>
  <c r="L21" i="9" s="1"/>
  <c r="V42" i="7"/>
  <c r="V40" i="7" s="1"/>
  <c r="K42" i="7"/>
  <c r="K40" i="7" s="1"/>
  <c r="S42" i="7"/>
  <c r="S40" i="7" s="1"/>
  <c r="N20" i="7"/>
  <c r="N18" i="7" s="1"/>
  <c r="P31" i="7"/>
  <c r="P29" i="7" s="1"/>
  <c r="V20" i="7"/>
  <c r="V18" i="7" s="1"/>
  <c r="V31" i="7"/>
  <c r="V29" i="7" s="1"/>
  <c r="T42" i="7"/>
  <c r="T40" i="7" s="1"/>
  <c r="U42" i="7"/>
  <c r="U40" i="7" s="1"/>
  <c r="U31" i="7"/>
  <c r="U29" i="7" s="1"/>
  <c r="T20" i="7"/>
  <c r="T18" i="7" s="1"/>
  <c r="S31" i="7"/>
  <c r="S29" i="7" s="1"/>
  <c r="R31" i="7"/>
  <c r="R29" i="7" s="1"/>
  <c r="R42" i="7"/>
  <c r="R40" i="7" s="1"/>
  <c r="Q42" i="7"/>
  <c r="Q40" i="7" s="1"/>
  <c r="P42" i="7"/>
  <c r="P40" i="7" s="1"/>
  <c r="P20" i="7"/>
  <c r="P18" i="7" s="1"/>
  <c r="N31" i="7"/>
  <c r="N29" i="7" s="1"/>
  <c r="N42" i="7"/>
  <c r="N40" i="7" s="1"/>
  <c r="M31" i="7"/>
  <c r="M29" i="7" s="1"/>
  <c r="L42" i="7"/>
  <c r="L40" i="7" s="1"/>
  <c r="M42" i="7"/>
  <c r="M40" i="7" s="1"/>
  <c r="L20" i="7"/>
  <c r="L18" i="7" s="1"/>
  <c r="J31" i="7"/>
  <c r="J29" i="7" s="1"/>
  <c r="I42" i="7"/>
  <c r="I40" i="7" s="1"/>
  <c r="J18" i="7"/>
  <c r="J42" i="7"/>
  <c r="J40" i="7" s="1"/>
  <c r="H42" i="7"/>
  <c r="H40" i="7" s="1"/>
  <c r="H20" i="7"/>
  <c r="H18" i="7" s="1"/>
  <c r="G31" i="7"/>
  <c r="G29" i="7" s="1"/>
  <c r="H31" i="7"/>
  <c r="H29" i="7" s="1"/>
  <c r="I20" i="7"/>
  <c r="I18" i="7" s="1"/>
  <c r="M20" i="7"/>
  <c r="M18" i="7" s="1"/>
  <c r="U20" i="7"/>
  <c r="U18" i="7" s="1"/>
  <c r="G20" i="7"/>
  <c r="G18" i="7" s="1"/>
  <c r="K20" i="7"/>
  <c r="K18" i="7" s="1"/>
  <c r="O20" i="7"/>
  <c r="O18" i="7" s="1"/>
  <c r="I31" i="7"/>
  <c r="I29" i="7" s="1"/>
  <c r="Q31" i="7"/>
  <c r="Q29" i="7" s="1"/>
  <c r="K31" i="7"/>
  <c r="K29" i="7" s="1"/>
  <c r="L31" i="7"/>
  <c r="L29" i="7" s="1"/>
  <c r="T31" i="7"/>
  <c r="T29" i="7" s="1"/>
  <c r="G87" i="7" l="1"/>
  <c r="G85" i="7" s="1"/>
  <c r="G42" i="7"/>
  <c r="G40" i="7" s="1"/>
  <c r="F87" i="7" l="1"/>
  <c r="F85" i="7" s="1"/>
  <c r="F42" i="7"/>
  <c r="F40" i="7" s="1"/>
  <c r="F65" i="7" l="1"/>
  <c r="F63" i="7" s="1"/>
  <c r="F20" i="7"/>
  <c r="F18" i="7" s="1"/>
  <c r="F76" i="7"/>
  <c r="F74" i="7" s="1"/>
  <c r="F31" i="7"/>
  <c r="F29" i="7" s="1"/>
  <c r="F54" i="7" l="1"/>
  <c r="F52" i="7" s="1"/>
  <c r="M46" i="9" l="1"/>
  <c r="M55" i="9" s="1"/>
  <c r="M29" i="9"/>
  <c r="M38" i="9" s="1"/>
  <c r="M12" i="9" l="1"/>
  <c r="M21" i="9" s="1"/>
  <c r="M63" i="9"/>
  <c r="M72" i="9" s="1"/>
  <c r="W87" i="7" l="1"/>
  <c r="W85" i="7" s="1"/>
  <c r="W42" i="7" l="1"/>
  <c r="W40" i="7" s="1"/>
  <c r="J12" i="9"/>
  <c r="J21" i="9" s="1"/>
  <c r="J46" i="9"/>
  <c r="J55" i="9" s="1"/>
  <c r="G64" i="9" l="1"/>
  <c r="G63" i="9" s="1"/>
  <c r="H63" i="9"/>
  <c r="H72" i="9" s="1"/>
  <c r="I46" i="9"/>
  <c r="I55" i="9" s="1"/>
  <c r="J29" i="9"/>
  <c r="J38" i="9" s="1"/>
  <c r="E64" i="9" l="1"/>
  <c r="N64" i="9" s="1"/>
  <c r="N63" i="9" s="1"/>
  <c r="G72" i="9"/>
  <c r="E72" i="9" s="1"/>
  <c r="I29" i="9"/>
  <c r="I38" i="9" s="1"/>
  <c r="I12" i="9" l="1"/>
  <c r="I21" i="9" s="1"/>
  <c r="W65" i="7" l="1"/>
  <c r="W76" i="7" l="1"/>
  <c r="W20" i="7" l="1"/>
  <c r="H46" i="9" l="1"/>
  <c r="H55" i="9" s="1"/>
  <c r="G47" i="9"/>
  <c r="G46" i="9" s="1"/>
  <c r="W31" i="7"/>
  <c r="W29" i="7" s="1"/>
  <c r="W54" i="7"/>
  <c r="W52" i="7" s="1"/>
  <c r="G55" i="9" l="1"/>
  <c r="G13" i="9"/>
  <c r="H12" i="9"/>
  <c r="H21" i="9" s="1"/>
  <c r="H29" i="9" l="1"/>
  <c r="H38" i="9" s="1"/>
  <c r="G30" i="9"/>
  <c r="E13" i="9"/>
  <c r="N13" i="9" s="1"/>
  <c r="G12" i="9"/>
  <c r="G21" i="9" s="1"/>
  <c r="W63" i="7"/>
  <c r="E30" i="9" l="1"/>
  <c r="N30" i="9" s="1"/>
  <c r="N29" i="9" s="1"/>
  <c r="G29" i="9"/>
  <c r="G38" i="9" s="1"/>
  <c r="E38" i="9" s="1"/>
  <c r="E21" i="9"/>
  <c r="N12" i="9"/>
  <c r="W18" i="7" l="1"/>
  <c r="W9" i="7"/>
  <c r="W7" i="7" s="1"/>
  <c r="V9" i="7"/>
  <c r="V7" i="7" s="1"/>
  <c r="T9" i="7"/>
  <c r="T7" i="7" s="1"/>
  <c r="L9" i="7"/>
  <c r="L7" i="7" s="1"/>
  <c r="K9" i="7"/>
  <c r="K7" i="7" s="1"/>
  <c r="U9" i="7"/>
  <c r="U7" i="7" s="1"/>
  <c r="R9" i="7"/>
  <c r="R7" i="7" s="1"/>
  <c r="N9" i="7"/>
  <c r="N7" i="7" s="1"/>
  <c r="G9" i="7"/>
  <c r="G7" i="7" s="1"/>
  <c r="H9" i="7"/>
  <c r="H7" i="7" s="1"/>
  <c r="S9" i="7"/>
  <c r="S7" i="7" s="1"/>
  <c r="Q9" i="7"/>
  <c r="Q7" i="7" s="1"/>
  <c r="P9" i="7"/>
  <c r="P7" i="7" s="1"/>
  <c r="M9" i="7"/>
  <c r="M7" i="7" s="1"/>
  <c r="J9" i="7"/>
  <c r="J7" i="7" s="1"/>
  <c r="I9" i="7"/>
  <c r="I7" i="7" s="1"/>
  <c r="F9" i="7"/>
  <c r="F7" i="7" s="1"/>
  <c r="K46" i="9" l="1"/>
  <c r="K55" i="9" s="1"/>
  <c r="E55" i="9" s="1"/>
  <c r="E47" i="9"/>
  <c r="N47" i="9" s="1"/>
  <c r="N46" i="9" s="1"/>
  <c r="O31" i="7" l="1"/>
  <c r="O29" i="7" s="1"/>
  <c r="O9" i="7" l="1"/>
  <c r="O7" i="7" s="1"/>
  <c r="V164" i="7" l="1"/>
  <c r="V224" i="8"/>
  <c r="V222" i="8" s="1"/>
  <c r="V20" i="8" l="1"/>
  <c r="V18" i="8" s="1"/>
  <c r="V74" i="7" l="1"/>
  <c r="W74" i="7" l="1"/>
  <c r="W164" i="7"/>
  <c r="W20" i="8"/>
  <c r="W18" i="8" s="1"/>
  <c r="W224" i="8"/>
  <c r="W222" i="8" s="1"/>
</calcChain>
</file>

<file path=xl/sharedStrings.xml><?xml version="1.0" encoding="utf-8"?>
<sst xmlns="http://schemas.openxmlformats.org/spreadsheetml/2006/main" count="1157" uniqueCount="84">
  <si>
    <t>Financial corporations</t>
  </si>
  <si>
    <t>S13</t>
  </si>
  <si>
    <t>tr.I</t>
  </si>
  <si>
    <t>tr.II</t>
  </si>
  <si>
    <t>tr.III</t>
  </si>
  <si>
    <t>tr.IV</t>
  </si>
  <si>
    <t>F4 Împrumuturi</t>
  </si>
  <si>
    <t>pasive</t>
  </si>
  <si>
    <t>total</t>
  </si>
  <si>
    <t>active</t>
  </si>
  <si>
    <t>F2 Numerar și depozite</t>
  </si>
  <si>
    <t>F3 Titluri de natura datoriei</t>
  </si>
  <si>
    <t>F5 Acțiuni și alte forme de participații</t>
  </si>
  <si>
    <t>S.1</t>
  </si>
  <si>
    <t>S.11</t>
  </si>
  <si>
    <t>S.12</t>
  </si>
  <si>
    <t>S.125</t>
  </si>
  <si>
    <t>S.128</t>
  </si>
  <si>
    <t>S.13</t>
  </si>
  <si>
    <t>S.2</t>
  </si>
  <si>
    <t>Matricele tranzacțiilor financiare nete între sectoarele economiei naționale, precum și între sectoarele economiei naționale și restul lumii</t>
  </si>
  <si>
    <t>S.11 Societăți comerciale nefinanciare</t>
  </si>
  <si>
    <t>Restul lumii</t>
  </si>
  <si>
    <t>Societăți comerciale nefinanciare</t>
  </si>
  <si>
    <t>F5 Acțiuni și participații ale fondurilor de investiții</t>
  </si>
  <si>
    <t>Instituții financiare monetare</t>
  </si>
  <si>
    <t>S.121+S.122</t>
  </si>
  <si>
    <t>Alți intermediari financiari</t>
  </si>
  <si>
    <t>Societăți de asigurare</t>
  </si>
  <si>
    <t>Administrația publică</t>
  </si>
  <si>
    <t>S.14+S.15</t>
  </si>
  <si>
    <t>Gospodăriile populației</t>
  </si>
  <si>
    <t>milioane lei</t>
  </si>
  <si>
    <t>S.12 - Societăți financiare</t>
  </si>
  <si>
    <t>S.13 - Administrația publică</t>
  </si>
  <si>
    <t>Economia Națională</t>
  </si>
  <si>
    <t>S138</t>
  </si>
  <si>
    <t>S.14 +S.15 - Gospodăriile populației</t>
  </si>
  <si>
    <t>Seriile dinamice aferente tranzacțiilor financiare nete cu active</t>
  </si>
  <si>
    <t>Selectati perioada</t>
  </si>
  <si>
    <t>tr.I 2020</t>
  </si>
  <si>
    <t>tr.II 2020</t>
  </si>
  <si>
    <t>tr.III 2020</t>
  </si>
  <si>
    <t>tr.IV 2020</t>
  </si>
  <si>
    <t>tr.I 2021</t>
  </si>
  <si>
    <t>tr.II 2021</t>
  </si>
  <si>
    <t>tr.III 2021</t>
  </si>
  <si>
    <t>tr.IV 2021</t>
  </si>
  <si>
    <t>tr.I 2022</t>
  </si>
  <si>
    <t>tr.II 2022</t>
  </si>
  <si>
    <t>tr.III 2022</t>
  </si>
  <si>
    <t>tr.IV 2022</t>
  </si>
  <si>
    <t>tr.I 2023</t>
  </si>
  <si>
    <t>tr.II 2023</t>
  </si>
  <si>
    <t>tr.III 2023</t>
  </si>
  <si>
    <t>tr.IV 2023</t>
  </si>
  <si>
    <t>perioada</t>
  </si>
  <si>
    <t>a</t>
  </si>
  <si>
    <t>S.121+S.122 - Instituții financiare monetare</t>
  </si>
  <si>
    <t>S.125 - Alți intermediari financiari</t>
  </si>
  <si>
    <t>S.128 - Societăți de asigurare</t>
  </si>
  <si>
    <t>tr.I 2024</t>
  </si>
  <si>
    <t>tr.II 2024</t>
  </si>
  <si>
    <t>Notă: S.1 - Economia națională, S.11 - Societăți comerciale nefinanciare; S.12 - Societăți financiare; S.121+S.122 - Instituții financiare monetare; S.125 - Alți intermediari financiari; S.128 - Societăți de asigurare; S.13 - Administrația publică; S.14+S.15 - Gospodăriile populației; S.2 - Restul lumii.</t>
  </si>
  <si>
    <t>Conținut</t>
  </si>
  <si>
    <t>nota explicativă</t>
  </si>
  <si>
    <t>matricele</t>
  </si>
  <si>
    <t>seriile dinamice aferente activelor</t>
  </si>
  <si>
    <t>seriile dinamice aferente pasivelor</t>
  </si>
  <si>
    <t xml:space="preserve">Matricele de la cine către cine </t>
  </si>
  <si>
    <t>(datele experimentale)</t>
  </si>
  <si>
    <t>Ce reprezintă matricele „de la cine către cine”?</t>
  </si>
  <si>
    <t>Conturile financiare și bilanțurile sectoriale (CFBS), în prezentarea lor standard, furnizează informație privind activele și pasivele financiare ale sectoarelor economiei naționale, dezagregate pe instrumente financiare. Această prezentare a CFBS servește mai multor scopuri, cum prezentarea economice a sectoarelor economiei naționale și a instrumentelor utilizate, analiza fluxurilor de credite și depozite, precum și evaluarea valorii financiare nete a economiei naționale. Cu toate acestea, o astfel de prezentare nu este concepută pentru a dezvălui și a analiza detaliat relațiile dintre sectoarele instituționale, din perspectiva cine furnizează și cine utilizează fondurile (de exemplu valoarea creditelor acordate de către sectorul financiar, divizate pe debitori).</t>
  </si>
  <si>
    <t>Matricele CFBS „de la cine către cine” sunt prezentări statistice, în care pozițiile bilanțiere sau tranzacțiile financiare nete ale sectoarelor sunt prezentate în funcție de sectorul contrapartidei (de exemplu, creditorii și debitorii sunt prezentați pentru fiecare activ și pasiv).</t>
  </si>
  <si>
    <t>Matricea „de la cine către cine” conține pe orizontală tranzacțiile nete aferente activelor sectoarelor economiei și pe verticală tranzacțiile nete aferente pasivelor sectoarelor economiei. Astfel relațiile între sectoare sunt reflectate la intersecțiile coloanelor și rândurilor respective.</t>
  </si>
  <si>
    <t>Dezvoltarea matricelor „de la cine către cine” contribuie la o mai bună înțelegere a modului de funcționare a economiei: cine pe cine finanțează și cine față de cine este expus, în ce sumă și prin ce instrument financiar. Prin urmare, identificarea relațiilor intersectoriale contribuie la analiza modului în care șocurile financiare s-ar putea propaga în întreaga economie sau pentru a evalua expunerile trans-sectoriale prin intermediul unui anumit instrument financiar.</t>
  </si>
  <si>
    <t>tr.III 2024</t>
  </si>
  <si>
    <t>tr.IV 2024</t>
  </si>
  <si>
    <t>tr.I 2025</t>
  </si>
  <si>
    <t>trimestru I 2020 - trimestru III 2025</t>
  </si>
  <si>
    <t>tr.II 2025</t>
  </si>
  <si>
    <t>tr.III 2025</t>
  </si>
  <si>
    <t>Seriile dinamice aferente tranzacțiilor financiare nete cu pasive</t>
  </si>
  <si>
    <t>Aprilie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</si>
</sst>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0.0;;"/>
    <numFmt numFmtId="165" formatCode="_-* #,##0.00\ _L_-;\-* #,##0.00\ _L_-;_-* &quot;-&quot;??\ _L_-;_-@_-"/>
    <numFmt numFmtId="166" formatCode="0.0"/>
    <numFmt numFmtId="167" formatCode="#,##0.00000;\-#,##0.00000;"/>
    <numFmt numFmtId="168" formatCode="#,##0.000000;\-#,##0.000000;"/>
    <numFmt numFmtId="169" formatCode="#,##0.0000000;\-#,##0.0000000;"/>
    <numFmt numFmtId="170" formatCode="#,##0.00000000;\-#,##0.00000000;"/>
    <numFmt numFmtId="171" formatCode="#,##0.0;\-#,##0.0;"/>
    <numFmt numFmtId="172" formatCode="#,##0.0_ ;\-#,##0.0\ "/>
    <numFmt numFmtId="173" formatCode="_-* #,##0.0000_-;\-* #,##0.0000_-;_-* &quot;-&quot;??_-;_-@_-"/>
  </numFmts>
  <fonts count="53" x14ac:knownFonts="1">
    <font>
      <sz val="11"/>
      <color theme="1"/>
      <name val="Aptos Narrow"/>
      <family val="2"/>
      <charset val="238"/>
      <scheme val="minor"/>
    </font>
    <font>
      <sz val="11"/>
      <color theme="1"/>
      <name val="Times New Roman"/>
      <family val="2"/>
    </font>
    <font>
      <sz val="11"/>
      <color theme="1"/>
      <name val="Aptos Narrow"/>
      <family val="2"/>
      <scheme val="minor"/>
    </font>
    <font>
      <sz val="11"/>
      <color rgb="FF374C4A"/>
      <name val="PermianSerifTypeface"/>
      <family val="3"/>
    </font>
    <font>
      <b/>
      <sz val="12"/>
      <color rgb="FF374C4A"/>
      <name val="PermianSerifTypeface"/>
      <family val="3"/>
    </font>
    <font>
      <i/>
      <u/>
      <sz val="11"/>
      <color rgb="FF374C4A"/>
      <name val="PermianSerifTypeface"/>
      <family val="3"/>
    </font>
    <font>
      <b/>
      <sz val="16"/>
      <color rgb="FF374C4A"/>
      <name val="PermianSerifTypeface"/>
      <family val="3"/>
    </font>
    <font>
      <b/>
      <i/>
      <sz val="13"/>
      <color rgb="FF374C4A"/>
      <name val="PermianSerifTypeface"/>
      <family val="3"/>
    </font>
    <font>
      <b/>
      <sz val="10"/>
      <color rgb="FF374C4A"/>
      <name val="PermianSerifTypeface"/>
      <family val="3"/>
    </font>
    <font>
      <sz val="10"/>
      <color rgb="FF374C4A"/>
      <name val="PermianSerifTypeface"/>
      <family val="3"/>
    </font>
    <font>
      <i/>
      <sz val="11"/>
      <color rgb="FF374C4A"/>
      <name val="PermianSerifTypeface"/>
      <family val="3"/>
    </font>
    <font>
      <i/>
      <sz val="9"/>
      <color rgb="FF374C4A"/>
      <name val="PermianSerifTypeface"/>
      <family val="3"/>
    </font>
    <font>
      <b/>
      <sz val="16"/>
      <color rgb="FFA97D5E"/>
      <name val="PermianSerifTypeface"/>
      <family val="3"/>
    </font>
    <font>
      <sz val="8"/>
      <color rgb="FFEFEFE9"/>
      <name val="PermianSerifTypeface"/>
      <family val="3"/>
    </font>
    <font>
      <sz val="11"/>
      <color rgb="FFEFEFE9"/>
      <name val="PermianSerifTypeface"/>
      <family val="3"/>
    </font>
    <font>
      <u/>
      <sz val="11"/>
      <color theme="10"/>
      <name val="Aptos Narrow"/>
      <family val="2"/>
      <charset val="238"/>
      <scheme val="minor"/>
    </font>
    <font>
      <sz val="11"/>
      <color theme="1"/>
      <name val="Aptos Narrow"/>
      <family val="2"/>
      <charset val="238"/>
      <scheme val="minor"/>
    </font>
    <font>
      <sz val="8"/>
      <name val="Aptos Narrow"/>
      <family val="2"/>
      <charset val="238"/>
      <scheme val="minor"/>
    </font>
    <font>
      <sz val="11"/>
      <color theme="1"/>
      <name val="Roboto"/>
      <charset val="204"/>
    </font>
    <font>
      <sz val="10"/>
      <color theme="1"/>
      <name val="Roboto"/>
      <charset val="204"/>
    </font>
    <font>
      <b/>
      <sz val="22"/>
      <color rgb="FF374C4A"/>
      <name val="Roboto"/>
      <charset val="204"/>
    </font>
    <font>
      <b/>
      <sz val="16"/>
      <color rgb="FF754B42"/>
      <name val="Roboto"/>
      <charset val="204"/>
    </font>
    <font>
      <b/>
      <sz val="16"/>
      <color rgb="FF93AB9D"/>
      <name val="Roboto"/>
      <charset val="204"/>
    </font>
    <font>
      <b/>
      <sz val="14"/>
      <color rgb="FF754B42"/>
      <name val="Roboto"/>
      <charset val="204"/>
    </font>
    <font>
      <i/>
      <sz val="12"/>
      <color theme="1"/>
      <name val="Roboto"/>
      <charset val="204"/>
    </font>
    <font>
      <i/>
      <u/>
      <sz val="12"/>
      <color rgb="FFA97D5E"/>
      <name val="Roboto"/>
      <charset val="204"/>
    </font>
    <font>
      <i/>
      <u/>
      <sz val="11"/>
      <color rgb="FFA97D5E"/>
      <name val="Roboto"/>
      <charset val="204"/>
    </font>
    <font>
      <sz val="11"/>
      <color rgb="FF374C4A"/>
      <name val="Roboto"/>
      <charset val="204"/>
    </font>
    <font>
      <b/>
      <sz val="20"/>
      <color rgb="FF374C4A"/>
      <name val="Roboto"/>
      <charset val="204"/>
    </font>
    <font>
      <sz val="14"/>
      <color rgb="FF374C4A"/>
      <name val="Roboto"/>
      <charset val="204"/>
    </font>
    <font>
      <b/>
      <sz val="18"/>
      <color rgb="FF374C4A"/>
      <name val="Roboto"/>
      <charset val="204"/>
    </font>
    <font>
      <i/>
      <sz val="11"/>
      <color rgb="FF374C4A"/>
      <name val="Roboto"/>
      <charset val="204"/>
    </font>
    <font>
      <i/>
      <sz val="12"/>
      <color rgb="FFFF0000"/>
      <name val="Roboto"/>
      <charset val="204"/>
    </font>
    <font>
      <i/>
      <sz val="12"/>
      <color theme="0"/>
      <name val="Roboto"/>
      <charset val="204"/>
    </font>
    <font>
      <b/>
      <sz val="16"/>
      <color rgb="FF374C4A"/>
      <name val="Roboto"/>
      <charset val="204"/>
    </font>
    <font>
      <b/>
      <sz val="16"/>
      <color theme="1"/>
      <name val="Roboto"/>
      <charset val="204"/>
    </font>
    <font>
      <b/>
      <sz val="14"/>
      <color rgb="FF374C4A"/>
      <name val="Roboto"/>
      <charset val="204"/>
    </font>
    <font>
      <sz val="12"/>
      <color rgb="FF374C4A"/>
      <name val="Roboto"/>
      <charset val="204"/>
    </font>
    <font>
      <b/>
      <sz val="12"/>
      <color rgb="FF374C4A"/>
      <name val="Roboto"/>
      <charset val="204"/>
    </font>
    <font>
      <sz val="9"/>
      <color theme="1"/>
      <name val="Roboto"/>
      <charset val="204"/>
    </font>
    <font>
      <sz val="8"/>
      <color rgb="FFEFEFE9"/>
      <name val="Roboto"/>
      <charset val="204"/>
    </font>
    <font>
      <b/>
      <sz val="28"/>
      <color rgb="FF374C4A"/>
      <name val="Roboto"/>
      <charset val="204"/>
    </font>
    <font>
      <b/>
      <u/>
      <sz val="11"/>
      <color rgb="FF754B42"/>
      <name val="Roboto"/>
      <charset val="204"/>
    </font>
    <font>
      <i/>
      <u/>
      <sz val="11"/>
      <color rgb="FF374C4A"/>
      <name val="Roboto"/>
      <charset val="204"/>
    </font>
    <font>
      <b/>
      <sz val="11"/>
      <color rgb="FF374C4A"/>
      <name val="Roboto"/>
      <charset val="204"/>
    </font>
    <font>
      <sz val="11"/>
      <color rgb="FFEFEFE9"/>
      <name val="Roboto"/>
      <charset val="204"/>
    </font>
    <font>
      <i/>
      <u/>
      <sz val="11"/>
      <color rgb="FFEFEFE9"/>
      <name val="Roboto"/>
      <charset val="204"/>
    </font>
    <font>
      <b/>
      <sz val="16"/>
      <color rgb="FFA97D5E"/>
      <name val="Roboto"/>
      <charset val="204"/>
    </font>
    <font>
      <b/>
      <i/>
      <sz val="13"/>
      <color rgb="FF374C4A"/>
      <name val="Roboto"/>
      <charset val="204"/>
    </font>
    <font>
      <b/>
      <sz val="10"/>
      <color rgb="FF374C4A"/>
      <name val="Roboto"/>
      <charset val="204"/>
    </font>
    <font>
      <sz val="10"/>
      <color rgb="FF374C4A"/>
      <name val="Roboto"/>
      <charset val="204"/>
    </font>
    <font>
      <i/>
      <sz val="9"/>
      <color rgb="FF374C4A"/>
      <name val="Roboto"/>
      <charset val="204"/>
    </font>
    <font>
      <sz val="11"/>
      <color rgb="FFFF0000"/>
      <name val="Roboto"/>
      <charset val="204"/>
    </font>
  </fonts>
  <fills count="7">
    <fill>
      <patternFill patternType="none"/>
    </fill>
    <fill>
      <patternFill patternType="gray125"/>
    </fill>
    <fill>
      <patternFill patternType="solid">
        <fgColor rgb="FFEFEFE9"/>
        <bgColor indexed="64"/>
      </patternFill>
    </fill>
    <fill>
      <patternFill patternType="solid">
        <fgColor rgb="FFC2B3A3"/>
        <bgColor indexed="64"/>
      </patternFill>
    </fill>
    <fill>
      <patternFill patternType="solid">
        <fgColor rgb="FFE7E7DD"/>
        <bgColor indexed="64"/>
      </patternFill>
    </fill>
    <fill>
      <patternFill patternType="solid">
        <fgColor rgb="FF93AB9D"/>
        <bgColor indexed="64"/>
      </patternFill>
    </fill>
    <fill>
      <patternFill patternType="solid">
        <fgColor rgb="FF93AB9D"/>
        <bgColor rgb="FF93AB9D"/>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523D35"/>
      </left>
      <right/>
      <top style="thin">
        <color rgb="FF523D35"/>
      </top>
      <bottom/>
      <diagonal/>
    </border>
    <border>
      <left/>
      <right/>
      <top style="thin">
        <color rgb="FF523D35"/>
      </top>
      <bottom/>
      <diagonal/>
    </border>
    <border>
      <left/>
      <right style="thin">
        <color rgb="FF523D35"/>
      </right>
      <top style="thin">
        <color rgb="FF523D35"/>
      </top>
      <bottom/>
      <diagonal/>
    </border>
    <border>
      <left style="thin">
        <color rgb="FF523D35"/>
      </left>
      <right/>
      <top/>
      <bottom/>
      <diagonal/>
    </border>
    <border>
      <left/>
      <right style="thin">
        <color rgb="FF523D35"/>
      </right>
      <top/>
      <bottom/>
      <diagonal/>
    </border>
    <border>
      <left style="thin">
        <color rgb="FF523D35"/>
      </left>
      <right/>
      <top/>
      <bottom style="thin">
        <color rgb="FF523D35"/>
      </bottom>
      <diagonal/>
    </border>
    <border>
      <left/>
      <right/>
      <top/>
      <bottom style="thin">
        <color rgb="FF523D35"/>
      </bottom>
      <diagonal/>
    </border>
    <border>
      <left/>
      <right style="thin">
        <color rgb="FF523D35"/>
      </right>
      <top/>
      <bottom style="thin">
        <color rgb="FF523D35"/>
      </bottom>
      <diagonal/>
    </border>
    <border>
      <left style="thin">
        <color rgb="FFC2B3A3"/>
      </left>
      <right style="thin">
        <color rgb="FFC2B3A3"/>
      </right>
      <top style="thin">
        <color rgb="FFC2B3A3"/>
      </top>
      <bottom style="thin">
        <color rgb="FFC2B3A3"/>
      </bottom>
      <diagonal/>
    </border>
    <border diagonalDown="1">
      <left style="thin">
        <color rgb="FFC2B3A3"/>
      </left>
      <right/>
      <top style="thin">
        <color rgb="FFC2B3A3"/>
      </top>
      <bottom/>
      <diagonal style="thin">
        <color theme="2" tint="-0.24994659260841701"/>
      </diagonal>
    </border>
    <border>
      <left/>
      <right style="thin">
        <color rgb="FFC2B3A3"/>
      </right>
      <top style="thin">
        <color rgb="FFC2B3A3"/>
      </top>
      <bottom/>
      <diagonal/>
    </border>
    <border>
      <left style="thin">
        <color rgb="FFC2B3A3"/>
      </left>
      <right/>
      <top/>
      <bottom style="thin">
        <color rgb="FFC2B3A3"/>
      </bottom>
      <diagonal/>
    </border>
    <border diagonalDown="1">
      <left/>
      <right style="thin">
        <color rgb="FFC2B3A3"/>
      </right>
      <top/>
      <bottom style="thin">
        <color rgb="FFC2B3A3"/>
      </bottom>
      <diagonal style="thin">
        <color theme="2" tint="-0.24994659260841701"/>
      </diagonal>
    </border>
    <border>
      <left style="thin">
        <color rgb="FFC2B3A3"/>
      </left>
      <right style="thin">
        <color rgb="FFC2B3A3"/>
      </right>
      <top style="thin">
        <color rgb="FFC2B3A3"/>
      </top>
      <bottom/>
      <diagonal/>
    </border>
    <border>
      <left style="thin">
        <color rgb="FFC2B3A3"/>
      </left>
      <right style="thin">
        <color rgb="FFC2B3A3"/>
      </right>
      <top/>
      <bottom style="thin">
        <color rgb="FFC2B3A3"/>
      </bottom>
      <diagonal/>
    </border>
    <border>
      <left style="thin">
        <color rgb="FF754B42"/>
      </left>
      <right/>
      <top style="thin">
        <color rgb="FF754B42"/>
      </top>
      <bottom/>
      <diagonal/>
    </border>
    <border>
      <left/>
      <right/>
      <top style="thin">
        <color rgb="FF754B42"/>
      </top>
      <bottom/>
      <diagonal/>
    </border>
    <border>
      <left/>
      <right style="thin">
        <color rgb="FF754B42"/>
      </right>
      <top style="thin">
        <color rgb="FF754B42"/>
      </top>
      <bottom/>
      <diagonal/>
    </border>
    <border>
      <left style="thin">
        <color rgb="FF754B42"/>
      </left>
      <right/>
      <top/>
      <bottom/>
      <diagonal/>
    </border>
    <border>
      <left/>
      <right style="thin">
        <color rgb="FF754B42"/>
      </right>
      <top/>
      <bottom/>
      <diagonal/>
    </border>
    <border>
      <left style="thin">
        <color rgb="FF754B42"/>
      </left>
      <right/>
      <top/>
      <bottom style="thin">
        <color rgb="FF754B42"/>
      </bottom>
      <diagonal/>
    </border>
    <border>
      <left/>
      <right/>
      <top/>
      <bottom style="thin">
        <color rgb="FF754B42"/>
      </bottom>
      <diagonal/>
    </border>
    <border>
      <left/>
      <right style="thin">
        <color rgb="FF754B42"/>
      </right>
      <top/>
      <bottom style="thin">
        <color rgb="FF754B42"/>
      </bottom>
      <diagonal/>
    </border>
    <border>
      <left style="medium">
        <color rgb="FFB8C8BE"/>
      </left>
      <right style="medium">
        <color rgb="FF70907C"/>
      </right>
      <top style="medium">
        <color rgb="FFB8C8BE"/>
      </top>
      <bottom style="medium">
        <color rgb="FF70907C"/>
      </bottom>
      <diagonal/>
    </border>
    <border>
      <left/>
      <right style="medium">
        <color rgb="FFB8C8BE"/>
      </right>
      <top/>
      <bottom/>
      <diagonal/>
    </border>
  </borders>
  <cellStyleXfs count="6">
    <xf numFmtId="0" fontId="0" fillId="0" borderId="0"/>
    <xf numFmtId="0" fontId="1" fillId="0" borderId="0"/>
    <xf numFmtId="0" fontId="2" fillId="0" borderId="0"/>
    <xf numFmtId="165" fontId="2" fillId="0" borderId="0" applyFont="0" applyFill="0" applyBorder="0" applyAlignment="0" applyProtection="0"/>
    <xf numFmtId="0" fontId="15" fillId="0" borderId="0" applyNumberFormat="0" applyFill="0" applyBorder="0" applyAlignment="0" applyProtection="0"/>
    <xf numFmtId="43" fontId="16" fillId="0" borderId="0" applyFont="0" applyFill="0" applyBorder="0" applyAlignment="0" applyProtection="0"/>
  </cellStyleXfs>
  <cellXfs count="139">
    <xf numFmtId="0" fontId="0" fillId="0" borderId="0" xfId="0"/>
    <xf numFmtId="0" fontId="3" fillId="2" borderId="0" xfId="0" applyFont="1" applyFill="1"/>
    <xf numFmtId="3" fontId="5" fillId="2" borderId="0" xfId="1" applyNumberFormat="1" applyFont="1" applyFill="1" applyAlignment="1">
      <alignment vertical="center"/>
    </xf>
    <xf numFmtId="0" fontId="6" fillId="2" borderId="0" xfId="0" applyFont="1" applyFill="1" applyAlignment="1">
      <alignment horizontal="left"/>
    </xf>
    <xf numFmtId="0" fontId="3" fillId="2" borderId="0" xfId="0" applyFont="1" applyFill="1" applyAlignment="1">
      <alignment horizontal="center"/>
    </xf>
    <xf numFmtId="0" fontId="7" fillId="2" borderId="0" xfId="0" applyFont="1" applyFill="1" applyAlignment="1">
      <alignment horizontal="left"/>
    </xf>
    <xf numFmtId="0" fontId="4" fillId="2" borderId="4" xfId="0" applyFont="1" applyFill="1" applyBorder="1" applyAlignment="1">
      <alignment horizontal="left"/>
    </xf>
    <xf numFmtId="0" fontId="3" fillId="2" borderId="0" xfId="0" applyFont="1" applyFill="1" applyAlignment="1">
      <alignment horizontal="left" indent="1"/>
    </xf>
    <xf numFmtId="0" fontId="10" fillId="2" borderId="0" xfId="0" applyFont="1" applyFill="1" applyAlignment="1">
      <alignment horizontal="left" indent="2"/>
    </xf>
    <xf numFmtId="0" fontId="4" fillId="2" borderId="0" xfId="0" applyFont="1" applyFill="1" applyAlignment="1">
      <alignment horizontal="left"/>
    </xf>
    <xf numFmtId="0" fontId="12" fillId="2" borderId="0" xfId="0" applyFont="1" applyFill="1" applyAlignment="1">
      <alignment horizontal="left"/>
    </xf>
    <xf numFmtId="164" fontId="8" fillId="2" borderId="0" xfId="0" applyNumberFormat="1" applyFont="1" applyFill="1" applyAlignment="1">
      <alignment horizontal="center"/>
    </xf>
    <xf numFmtId="164" fontId="8" fillId="2" borderId="4" xfId="0" applyNumberFormat="1" applyFont="1" applyFill="1" applyBorder="1" applyAlignment="1">
      <alignment horizontal="center"/>
    </xf>
    <xf numFmtId="164" fontId="9" fillId="5" borderId="0" xfId="0" applyNumberFormat="1" applyFont="1" applyFill="1" applyAlignment="1">
      <alignment horizontal="center"/>
    </xf>
    <xf numFmtId="164" fontId="9" fillId="2" borderId="0" xfId="0" applyNumberFormat="1" applyFont="1" applyFill="1" applyAlignment="1">
      <alignment horizontal="center"/>
    </xf>
    <xf numFmtId="164" fontId="11" fillId="2" borderId="0" xfId="0" applyNumberFormat="1" applyFont="1" applyFill="1" applyAlignment="1">
      <alignment horizontal="center"/>
    </xf>
    <xf numFmtId="164" fontId="3" fillId="2" borderId="0" xfId="0" applyNumberFormat="1" applyFont="1" applyFill="1" applyAlignment="1">
      <alignment horizontal="center"/>
    </xf>
    <xf numFmtId="0" fontId="13" fillId="2" borderId="0" xfId="0" applyFont="1" applyFill="1"/>
    <xf numFmtId="164" fontId="11" fillId="5" borderId="0" xfId="0" applyNumberFormat="1" applyFont="1" applyFill="1" applyAlignment="1">
      <alignment horizontal="center"/>
    </xf>
    <xf numFmtId="0" fontId="14" fillId="2" borderId="0" xfId="0" applyFont="1" applyFill="1"/>
    <xf numFmtId="169" fontId="8" fillId="2" borderId="4" xfId="0" applyNumberFormat="1" applyFont="1" applyFill="1" applyBorder="1" applyAlignment="1">
      <alignment horizontal="center"/>
    </xf>
    <xf numFmtId="170" fontId="9" fillId="2" borderId="0" xfId="0" applyNumberFormat="1" applyFont="1" applyFill="1" applyAlignment="1">
      <alignment horizontal="center"/>
    </xf>
    <xf numFmtId="170" fontId="11" fillId="2" borderId="0" xfId="0" applyNumberFormat="1" applyFont="1" applyFill="1" applyAlignment="1">
      <alignment horizontal="center"/>
    </xf>
    <xf numFmtId="170" fontId="8" fillId="2" borderId="4" xfId="0" applyNumberFormat="1" applyFont="1" applyFill="1" applyBorder="1" applyAlignment="1">
      <alignment horizontal="center"/>
    </xf>
    <xf numFmtId="171" fontId="8" fillId="2" borderId="0" xfId="0" applyNumberFormat="1" applyFont="1" applyFill="1" applyAlignment="1">
      <alignment horizontal="center"/>
    </xf>
    <xf numFmtId="172" fontId="3" fillId="2" borderId="0" xfId="0" applyNumberFormat="1" applyFont="1" applyFill="1"/>
    <xf numFmtId="43" fontId="3" fillId="2" borderId="0" xfId="5" applyFont="1" applyFill="1"/>
    <xf numFmtId="173" fontId="3" fillId="2" borderId="0" xfId="5" applyNumberFormat="1" applyFont="1" applyFill="1"/>
    <xf numFmtId="0" fontId="18" fillId="2" borderId="0" xfId="0" applyFont="1" applyFill="1"/>
    <xf numFmtId="0" fontId="18" fillId="0" borderId="0" xfId="0" applyFont="1"/>
    <xf numFmtId="0" fontId="18" fillId="2" borderId="5" xfId="0" applyFont="1" applyFill="1" applyBorder="1"/>
    <xf numFmtId="0" fontId="18" fillId="2" borderId="6" xfId="0" applyFont="1" applyFill="1" applyBorder="1"/>
    <xf numFmtId="49" fontId="18" fillId="2" borderId="6" xfId="0" applyNumberFormat="1" applyFont="1" applyFill="1" applyBorder="1"/>
    <xf numFmtId="0" fontId="18" fillId="2" borderId="7" xfId="0" applyFont="1" applyFill="1" applyBorder="1"/>
    <xf numFmtId="0" fontId="18" fillId="2" borderId="8" xfId="0" applyFont="1" applyFill="1" applyBorder="1"/>
    <xf numFmtId="49" fontId="19" fillId="2" borderId="0" xfId="0" applyNumberFormat="1" applyFont="1" applyFill="1"/>
    <xf numFmtId="0" fontId="18" fillId="2" borderId="9" xfId="0" applyFont="1" applyFill="1" applyBorder="1"/>
    <xf numFmtId="0" fontId="20" fillId="2" borderId="0" xfId="0" applyFont="1" applyFill="1"/>
    <xf numFmtId="0" fontId="21" fillId="2" borderId="0" xfId="0" applyFont="1" applyFill="1"/>
    <xf numFmtId="0" fontId="22" fillId="2" borderId="0" xfId="0" applyFont="1" applyFill="1"/>
    <xf numFmtId="0" fontId="23" fillId="2" borderId="0" xfId="0" applyFont="1" applyFill="1"/>
    <xf numFmtId="0" fontId="24" fillId="2" borderId="0" xfId="0" applyFont="1" applyFill="1"/>
    <xf numFmtId="0" fontId="25" fillId="2" borderId="0" xfId="4" applyFont="1" applyFill="1"/>
    <xf numFmtId="0" fontId="26" fillId="2" borderId="0" xfId="4" applyFont="1" applyFill="1"/>
    <xf numFmtId="0" fontId="18" fillId="2" borderId="0" xfId="0" applyFont="1" applyFill="1" applyAlignment="1">
      <alignment vertical="center"/>
    </xf>
    <xf numFmtId="0" fontId="18" fillId="2" borderId="10" xfId="0" applyFont="1" applyFill="1" applyBorder="1"/>
    <xf numFmtId="0" fontId="18" fillId="2" borderId="11" xfId="0" applyFont="1" applyFill="1" applyBorder="1"/>
    <xf numFmtId="0" fontId="18" fillId="2" borderId="12" xfId="0" applyFont="1" applyFill="1" applyBorder="1"/>
    <xf numFmtId="0" fontId="27" fillId="2" borderId="0" xfId="0" applyFont="1" applyFill="1"/>
    <xf numFmtId="0" fontId="27" fillId="2" borderId="20" xfId="0" applyFont="1" applyFill="1" applyBorder="1"/>
    <xf numFmtId="0" fontId="27" fillId="2" borderId="21" xfId="0" applyFont="1" applyFill="1" applyBorder="1"/>
    <xf numFmtId="0" fontId="27" fillId="2" borderId="22" xfId="0" applyFont="1" applyFill="1" applyBorder="1"/>
    <xf numFmtId="0" fontId="27" fillId="2" borderId="23" xfId="0" applyFont="1" applyFill="1" applyBorder="1"/>
    <xf numFmtId="0" fontId="28" fillId="2" borderId="0" xfId="0" applyFont="1" applyFill="1"/>
    <xf numFmtId="0" fontId="27" fillId="2" borderId="24" xfId="0" applyFont="1" applyFill="1" applyBorder="1"/>
    <xf numFmtId="0" fontId="29" fillId="2" borderId="0" xfId="0" applyFont="1" applyFill="1" applyAlignment="1">
      <alignment vertical="center" wrapText="1"/>
    </xf>
    <xf numFmtId="0" fontId="27" fillId="2" borderId="25" xfId="0" applyFont="1" applyFill="1" applyBorder="1"/>
    <xf numFmtId="0" fontId="27" fillId="2" borderId="26" xfId="0" applyFont="1" applyFill="1" applyBorder="1"/>
    <xf numFmtId="0" fontId="27" fillId="2" borderId="27" xfId="0" applyFont="1" applyFill="1" applyBorder="1"/>
    <xf numFmtId="0" fontId="18" fillId="2" borderId="0" xfId="2" applyFont="1" applyFill="1"/>
    <xf numFmtId="0" fontId="18" fillId="2" borderId="5" xfId="2" applyFont="1" applyFill="1" applyBorder="1"/>
    <xf numFmtId="0" fontId="18" fillId="2" borderId="6" xfId="2" applyFont="1" applyFill="1" applyBorder="1"/>
    <xf numFmtId="0" fontId="18" fillId="2" borderId="7" xfId="2" applyFont="1" applyFill="1" applyBorder="1"/>
    <xf numFmtId="0" fontId="18" fillId="2" borderId="8" xfId="2" applyFont="1" applyFill="1" applyBorder="1"/>
    <xf numFmtId="0" fontId="30" fillId="2" borderId="9" xfId="2" applyFont="1" applyFill="1" applyBorder="1" applyAlignment="1">
      <alignment horizontal="left" vertical="top" wrapText="1"/>
    </xf>
    <xf numFmtId="0" fontId="21" fillId="2" borderId="0" xfId="2" applyFont="1" applyFill="1"/>
    <xf numFmtId="0" fontId="18" fillId="2" borderId="9" xfId="2" applyFont="1" applyFill="1" applyBorder="1"/>
    <xf numFmtId="0" fontId="27" fillId="2" borderId="0" xfId="2" applyFont="1" applyFill="1"/>
    <xf numFmtId="0" fontId="27" fillId="2" borderId="9" xfId="2" applyFont="1" applyFill="1" applyBorder="1"/>
    <xf numFmtId="0" fontId="31" fillId="2" borderId="9" xfId="2" applyFont="1" applyFill="1" applyBorder="1" applyAlignment="1">
      <alignment horizontal="left" vertical="center" wrapText="1"/>
    </xf>
    <xf numFmtId="0" fontId="33" fillId="6" borderId="28" xfId="2" applyFont="1" applyFill="1" applyBorder="1" applyAlignment="1">
      <alignment horizontal="left" vertical="center"/>
    </xf>
    <xf numFmtId="0" fontId="31" fillId="2" borderId="0" xfId="2" applyFont="1" applyFill="1" applyAlignment="1">
      <alignment horizontal="left" vertical="center" wrapText="1"/>
    </xf>
    <xf numFmtId="0" fontId="34" fillId="2" borderId="0" xfId="2" applyFont="1" applyFill="1"/>
    <xf numFmtId="0" fontId="35" fillId="2" borderId="0" xfId="2" applyFont="1" applyFill="1" applyAlignment="1">
      <alignment horizontal="center"/>
    </xf>
    <xf numFmtId="0" fontId="27" fillId="2" borderId="14" xfId="2" applyFont="1" applyFill="1" applyBorder="1"/>
    <xf numFmtId="0" fontId="29" fillId="2" borderId="15" xfId="2" applyFont="1" applyFill="1" applyBorder="1"/>
    <xf numFmtId="0" fontId="36" fillId="2" borderId="9" xfId="2" applyFont="1" applyFill="1" applyBorder="1" applyAlignment="1">
      <alignment horizontal="center" vertical="center"/>
    </xf>
    <xf numFmtId="0" fontId="29" fillId="2" borderId="16" xfId="2" applyFont="1" applyFill="1" applyBorder="1" applyAlignment="1">
      <alignment horizontal="left" indent="1"/>
    </xf>
    <xf numFmtId="0" fontId="29" fillId="2" borderId="17" xfId="2" applyFont="1" applyFill="1" applyBorder="1"/>
    <xf numFmtId="164" fontId="37" fillId="3" borderId="13" xfId="2" applyNumberFormat="1" applyFont="1" applyFill="1" applyBorder="1" applyAlignment="1">
      <alignment horizontal="right" indent="1"/>
    </xf>
    <xf numFmtId="164" fontId="37" fillId="2" borderId="13" xfId="2" applyNumberFormat="1" applyFont="1" applyFill="1" applyBorder="1" applyAlignment="1">
      <alignment horizontal="right" vertical="center" indent="1"/>
    </xf>
    <xf numFmtId="164" fontId="37" fillId="4" borderId="13" xfId="2" applyNumberFormat="1" applyFont="1" applyFill="1" applyBorder="1" applyAlignment="1">
      <alignment horizontal="right" vertical="center" indent="1"/>
    </xf>
    <xf numFmtId="164" fontId="38" fillId="2" borderId="13" xfId="2" applyNumberFormat="1" applyFont="1" applyFill="1" applyBorder="1" applyAlignment="1">
      <alignment horizontal="right" vertical="center" indent="1"/>
    </xf>
    <xf numFmtId="164" fontId="38" fillId="2" borderId="9" xfId="2" applyNumberFormat="1" applyFont="1" applyFill="1" applyBorder="1" applyAlignment="1">
      <alignment horizontal="right" vertical="center" indent="1"/>
    </xf>
    <xf numFmtId="2" fontId="39" fillId="2" borderId="0" xfId="3" applyNumberFormat="1" applyFont="1" applyFill="1" applyBorder="1" applyAlignment="1">
      <alignment horizontal="right" vertical="center"/>
    </xf>
    <xf numFmtId="2" fontId="39" fillId="2" borderId="0" xfId="2" applyNumberFormat="1" applyFont="1" applyFill="1" applyAlignment="1">
      <alignment horizontal="right" vertical="top" wrapText="1"/>
    </xf>
    <xf numFmtId="164" fontId="38" fillId="4" borderId="13" xfId="2" applyNumberFormat="1" applyFont="1" applyFill="1" applyBorder="1" applyAlignment="1">
      <alignment horizontal="right" vertical="center" indent="1"/>
    </xf>
    <xf numFmtId="164" fontId="38" fillId="3" borderId="13" xfId="2" applyNumberFormat="1" applyFont="1" applyFill="1" applyBorder="1" applyAlignment="1">
      <alignment horizontal="right" indent="1"/>
    </xf>
    <xf numFmtId="164" fontId="38" fillId="2" borderId="9" xfId="2" applyNumberFormat="1" applyFont="1" applyFill="1" applyBorder="1" applyAlignment="1">
      <alignment horizontal="right" indent="1"/>
    </xf>
    <xf numFmtId="166" fontId="18" fillId="2" borderId="0" xfId="2" applyNumberFormat="1" applyFont="1" applyFill="1"/>
    <xf numFmtId="0" fontId="18" fillId="2" borderId="10" xfId="2" applyFont="1" applyFill="1" applyBorder="1"/>
    <xf numFmtId="0" fontId="18" fillId="2" borderId="11" xfId="2" applyFont="1" applyFill="1" applyBorder="1"/>
    <xf numFmtId="0" fontId="18" fillId="2" borderId="12" xfId="2" applyFont="1" applyFill="1" applyBorder="1"/>
    <xf numFmtId="0" fontId="40" fillId="2" borderId="0" xfId="0" applyFont="1" applyFill="1"/>
    <xf numFmtId="0" fontId="28" fillId="2" borderId="0" xfId="2" applyFont="1" applyFill="1" applyAlignment="1">
      <alignment vertical="center"/>
    </xf>
    <xf numFmtId="0" fontId="41" fillId="2" borderId="0" xfId="0" applyFont="1" applyFill="1" applyAlignment="1">
      <alignment vertical="center"/>
    </xf>
    <xf numFmtId="0" fontId="38" fillId="2" borderId="1" xfId="0" applyFont="1" applyFill="1" applyBorder="1" applyAlignment="1">
      <alignment horizontal="centerContinuous" vertical="center"/>
    </xf>
    <xf numFmtId="0" fontId="41" fillId="2" borderId="2" xfId="0" applyFont="1" applyFill="1" applyBorder="1" applyAlignment="1">
      <alignment horizontal="centerContinuous" vertical="center"/>
    </xf>
    <xf numFmtId="0" fontId="27" fillId="2" borderId="2" xfId="0" applyFont="1" applyFill="1" applyBorder="1" applyAlignment="1">
      <alignment horizontal="centerContinuous"/>
    </xf>
    <xf numFmtId="0" fontId="27" fillId="2" borderId="3" xfId="0" applyFont="1" applyFill="1" applyBorder="1" applyAlignment="1">
      <alignment horizontal="centerContinuous"/>
    </xf>
    <xf numFmtId="3" fontId="42" fillId="2" borderId="0" xfId="1" applyNumberFormat="1" applyFont="1" applyFill="1" applyAlignment="1">
      <alignment vertical="center"/>
    </xf>
    <xf numFmtId="3" fontId="43" fillId="2" borderId="0" xfId="1" applyNumberFormat="1" applyFont="1" applyFill="1" applyAlignment="1">
      <alignment vertical="center"/>
    </xf>
    <xf numFmtId="0" fontId="44" fillId="2" borderId="1" xfId="0" applyFont="1" applyFill="1" applyBorder="1" applyAlignment="1">
      <alignment horizontal="center" vertical="center"/>
    </xf>
    <xf numFmtId="0" fontId="44" fillId="2" borderId="2" xfId="0" applyFont="1" applyFill="1" applyBorder="1" applyAlignment="1">
      <alignment horizontal="center" vertical="center"/>
    </xf>
    <xf numFmtId="0" fontId="44" fillId="2" borderId="3" xfId="0" applyFont="1" applyFill="1" applyBorder="1" applyAlignment="1">
      <alignment horizontal="center" vertical="center"/>
    </xf>
    <xf numFmtId="0" fontId="45" fillId="2" borderId="0" xfId="0" applyFont="1" applyFill="1"/>
    <xf numFmtId="3" fontId="46" fillId="2" borderId="0" xfId="1" applyNumberFormat="1" applyFont="1" applyFill="1" applyAlignment="1">
      <alignment vertical="center"/>
    </xf>
    <xf numFmtId="0" fontId="47" fillId="2" borderId="0" xfId="0" applyFont="1" applyFill="1" applyAlignment="1">
      <alignment horizontal="left"/>
    </xf>
    <xf numFmtId="0" fontId="34" fillId="2" borderId="0" xfId="0" applyFont="1" applyFill="1" applyAlignment="1">
      <alignment horizontal="left"/>
    </xf>
    <xf numFmtId="0" fontId="27" fillId="2" borderId="0" xfId="0" applyFont="1" applyFill="1" applyAlignment="1">
      <alignment horizontal="center"/>
    </xf>
    <xf numFmtId="0" fontId="48" fillId="2" borderId="0" xfId="0" applyFont="1" applyFill="1" applyAlignment="1">
      <alignment horizontal="left"/>
    </xf>
    <xf numFmtId="164" fontId="27" fillId="2" borderId="0" xfId="0" applyNumberFormat="1" applyFont="1" applyFill="1" applyAlignment="1">
      <alignment horizontal="center"/>
    </xf>
    <xf numFmtId="0" fontId="38" fillId="2" borderId="4" xfId="0" applyFont="1" applyFill="1" applyBorder="1" applyAlignment="1">
      <alignment horizontal="left"/>
    </xf>
    <xf numFmtId="164" fontId="49" fillId="2" borderId="4" xfId="0" applyNumberFormat="1" applyFont="1" applyFill="1" applyBorder="1" applyAlignment="1">
      <alignment horizontal="center"/>
    </xf>
    <xf numFmtId="0" fontId="27" fillId="2" borderId="0" xfId="0" applyFont="1" applyFill="1" applyAlignment="1">
      <alignment horizontal="left" indent="1"/>
    </xf>
    <xf numFmtId="164" fontId="50" fillId="5" borderId="0" xfId="0" applyNumberFormat="1" applyFont="1" applyFill="1" applyAlignment="1">
      <alignment horizontal="center"/>
    </xf>
    <xf numFmtId="164" fontId="50" fillId="2" borderId="0" xfId="0" applyNumberFormat="1" applyFont="1" applyFill="1" applyAlignment="1">
      <alignment horizontal="center"/>
    </xf>
    <xf numFmtId="0" fontId="31" fillId="2" borderId="0" xfId="0" applyFont="1" applyFill="1" applyAlignment="1">
      <alignment horizontal="left" indent="2"/>
    </xf>
    <xf numFmtId="164" fontId="51" fillId="2" borderId="0" xfId="0" applyNumberFormat="1" applyFont="1" applyFill="1" applyAlignment="1">
      <alignment horizontal="center"/>
    </xf>
    <xf numFmtId="0" fontId="38" fillId="2" borderId="0" xfId="0" applyFont="1" applyFill="1" applyAlignment="1">
      <alignment horizontal="left"/>
    </xf>
    <xf numFmtId="164" fontId="49" fillId="2" borderId="0" xfId="0" applyNumberFormat="1" applyFont="1" applyFill="1" applyAlignment="1">
      <alignment horizontal="center"/>
    </xf>
    <xf numFmtId="164" fontId="52" fillId="2" borderId="0" xfId="0" applyNumberFormat="1" applyFont="1" applyFill="1" applyAlignment="1">
      <alignment horizontal="center"/>
    </xf>
    <xf numFmtId="169" fontId="49" fillId="2" borderId="4" xfId="0" applyNumberFormat="1" applyFont="1" applyFill="1" applyBorder="1" applyAlignment="1">
      <alignment horizontal="center"/>
    </xf>
    <xf numFmtId="169" fontId="51" fillId="2" borderId="0" xfId="0" applyNumberFormat="1" applyFont="1" applyFill="1" applyAlignment="1">
      <alignment horizontal="center"/>
    </xf>
    <xf numFmtId="169" fontId="50" fillId="2" borderId="0" xfId="0" applyNumberFormat="1" applyFont="1" applyFill="1" applyAlignment="1">
      <alignment horizontal="center"/>
    </xf>
    <xf numFmtId="167" fontId="49" fillId="2" borderId="0" xfId="0" applyNumberFormat="1" applyFont="1" applyFill="1" applyAlignment="1">
      <alignment horizontal="center"/>
    </xf>
    <xf numFmtId="168" fontId="27" fillId="2" borderId="0" xfId="0" applyNumberFormat="1" applyFont="1" applyFill="1" applyAlignment="1">
      <alignment horizontal="center"/>
    </xf>
    <xf numFmtId="164" fontId="51" fillId="5" borderId="0" xfId="0" applyNumberFormat="1" applyFont="1" applyFill="1" applyAlignment="1">
      <alignment horizontal="center"/>
    </xf>
    <xf numFmtId="0" fontId="29" fillId="2" borderId="13" xfId="2" applyFont="1" applyFill="1" applyBorder="1" applyAlignment="1">
      <alignment horizontal="center" vertical="center"/>
    </xf>
    <xf numFmtId="0" fontId="36" fillId="2" borderId="13" xfId="2" applyFont="1" applyFill="1" applyBorder="1" applyAlignment="1">
      <alignment horizontal="center" vertical="center"/>
    </xf>
    <xf numFmtId="0" fontId="29" fillId="4" borderId="13" xfId="2" applyFont="1" applyFill="1" applyBorder="1" applyAlignment="1">
      <alignment horizontal="center" vertical="center"/>
    </xf>
    <xf numFmtId="0" fontId="29" fillId="4" borderId="18" xfId="2" applyFont="1" applyFill="1" applyBorder="1" applyAlignment="1">
      <alignment horizontal="center" vertical="center"/>
    </xf>
    <xf numFmtId="0" fontId="29" fillId="4" borderId="19" xfId="2" applyFont="1" applyFill="1" applyBorder="1" applyAlignment="1">
      <alignment horizontal="center" vertical="center"/>
    </xf>
    <xf numFmtId="0" fontId="28" fillId="2" borderId="0" xfId="2" applyFont="1" applyFill="1" applyAlignment="1">
      <alignment horizontal="left" vertical="top" wrapText="1"/>
    </xf>
    <xf numFmtId="0" fontId="27" fillId="2" borderId="0" xfId="2" applyFont="1" applyFill="1" applyAlignment="1">
      <alignment horizontal="left" vertical="center" wrapText="1"/>
    </xf>
    <xf numFmtId="0" fontId="32" fillId="2" borderId="0" xfId="2" applyFont="1" applyFill="1" applyAlignment="1">
      <alignment horizontal="right" vertical="center" wrapText="1"/>
    </xf>
    <xf numFmtId="0" fontId="32" fillId="2" borderId="29" xfId="2" applyFont="1" applyFill="1" applyBorder="1" applyAlignment="1">
      <alignment horizontal="right" vertical="center" wrapText="1"/>
    </xf>
    <xf numFmtId="0" fontId="27" fillId="2" borderId="1" xfId="0" applyFont="1" applyFill="1" applyBorder="1" applyAlignment="1">
      <alignment horizontal="center"/>
    </xf>
    <xf numFmtId="0" fontId="27" fillId="2" borderId="2" xfId="0" applyFont="1" applyFill="1" applyBorder="1" applyAlignment="1">
      <alignment horizontal="center"/>
    </xf>
  </cellXfs>
  <cellStyles count="6">
    <cellStyle name="Comma" xfId="5" builtinId="3"/>
    <cellStyle name="Comma 2" xfId="3" xr:uid="{028FDA0A-65A2-4F01-A0D5-DE7D292EABB1}"/>
    <cellStyle name="Hyperlink" xfId="4" builtinId="8"/>
    <cellStyle name="Normal" xfId="0" builtinId="0"/>
    <cellStyle name="Normal 2" xfId="2" xr:uid="{40A4D329-612D-4B2C-99CB-7E986578CA72}"/>
    <cellStyle name="Normal 7" xfId="1" xr:uid="{B0AA8E6A-D1D8-4CA4-BAD3-44BA8C67DC2F}"/>
  </cellStyles>
  <dxfs count="5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4" tint="0.79998168889431442"/>
      </font>
    </dxf>
    <dxf>
      <font>
        <color theme="0"/>
      </font>
    </dxf>
    <dxf>
      <font>
        <color theme="0"/>
      </font>
    </dxf>
    <dxf>
      <font>
        <color theme="4" tint="0.79998168889431442"/>
      </font>
    </dxf>
    <dxf>
      <font>
        <b val="0"/>
        <i/>
        <strike val="0"/>
        <condense val="0"/>
        <extend val="0"/>
        <outline val="0"/>
        <shadow val="0"/>
        <u/>
        <vertAlign val="baseline"/>
        <sz val="11"/>
        <color rgb="FF374C4A"/>
        <name val="PermianSerifTypeface"/>
        <family val="3"/>
        <scheme val="none"/>
      </font>
      <numFmt numFmtId="3" formatCode="#,##0"/>
      <fill>
        <patternFill patternType="solid">
          <fgColor indexed="64"/>
          <bgColor rgb="FFEFEFE9"/>
        </patternFill>
      </fill>
      <alignment horizontal="general" vertical="center" textRotation="0" wrapText="0" indent="0" justifyLastLine="0" shrinkToFit="0" readingOrder="0"/>
    </dxf>
    <dxf>
      <font>
        <b val="0"/>
        <i/>
        <strike val="0"/>
        <condense val="0"/>
        <extend val="0"/>
        <outline val="0"/>
        <shadow val="0"/>
        <u/>
        <vertAlign val="baseline"/>
        <sz val="11"/>
        <color rgb="FF374C4A"/>
        <name val="PermianSerifTypeface"/>
        <family val="3"/>
        <scheme val="none"/>
      </font>
      <fill>
        <patternFill patternType="solid">
          <fgColor indexed="64"/>
          <bgColor rgb="FFEFEFE9"/>
        </patternFill>
      </fill>
      <alignment horizontal="general" vertical="center" textRotation="0" wrapText="0" indent="0" justifyLastLine="0" shrinkToFit="0" readingOrder="0"/>
    </dxf>
  </dxfs>
  <tableStyles count="0" defaultTableStyle="TableStyleMedium2" defaultPivotStyle="PivotStyleLight16"/>
  <colors>
    <mruColors>
      <color rgb="FF754B42"/>
      <color rgb="FFA97D5E"/>
      <color rgb="FF70907C"/>
      <color rgb="FFB8C8BE"/>
      <color rgb="FF93AB9D"/>
      <color rgb="FF374C4A"/>
      <color rgb="FFC2B3A3"/>
      <color rgb="FFEFEFE9"/>
      <color rgb="FFE7E7DD"/>
      <color rgb="FF523D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atricele!A1" Type="http://schemas.openxmlformats.org/officeDocument/2006/relationships/hyperlink"/><Relationship Id="rId2" Target="#Coperta!C1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161925</xdr:rowOff>
    </xdr:from>
    <xdr:to>
      <xdr:col>4</xdr:col>
      <xdr:colOff>181316</xdr:colOff>
      <xdr:row>3</xdr:row>
      <xdr:rowOff>12288</xdr:rowOff>
    </xdr:to>
    <xdr:pic>
      <xdr:nvPicPr>
        <xdr:cNvPr id="9" name="Picture 8">
          <a:extLst>
            <a:ext uri="{FF2B5EF4-FFF2-40B4-BE49-F238E27FC236}">
              <a16:creationId xmlns:a16="http://schemas.microsoft.com/office/drawing/2014/main" id="{9AF83072-AF85-4164-B1B8-C29FF3E51B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495300"/>
          <a:ext cx="1981541" cy="2313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10677526</xdr:colOff>
      <xdr:row>8</xdr:row>
      <xdr:rowOff>942976</xdr:rowOff>
    </xdr:from>
    <xdr:to>
      <xdr:col>3</xdr:col>
      <xdr:colOff>600526</xdr:colOff>
      <xdr:row>10</xdr:row>
      <xdr:rowOff>168526</xdr:rowOff>
    </xdr:to>
    <xdr:sp macro="" textlink="">
      <xdr:nvSpPr>
        <xdr:cNvPr id="2" name="Arrow: Right 1">
          <a:hlinkClick xmlns:r="http://schemas.openxmlformats.org/officeDocument/2006/relationships" r:id="rId1"/>
          <a:extLst>
            <a:ext uri="{FF2B5EF4-FFF2-40B4-BE49-F238E27FC236}">
              <a16:creationId xmlns:a16="http://schemas.microsoft.com/office/drawing/2014/main" id="{6545A2F4-DC53-AB8F-DB8A-453FC5118BCD}"/>
            </a:ext>
          </a:extLst>
        </xdr:cNvPr>
        <xdr:cNvSpPr/>
      </xdr:nvSpPr>
      <xdr:spPr>
        <a:xfrm>
          <a:off x="11620501" y="6181726"/>
          <a:ext cx="972000" cy="540000"/>
        </a:xfrm>
        <a:prstGeom prst="rightArrow">
          <a:avLst/>
        </a:prstGeom>
        <a:solidFill>
          <a:srgbClr val="C2B3A3"/>
        </a:solidFill>
        <a:ln>
          <a:noFill/>
        </a:ln>
        <a:effectLst/>
        <a:scene3d>
          <a:camera prst="orthographicFront">
            <a:rot lat="0" lon="0" rev="0"/>
          </a:camera>
          <a:lightRig rig="contrasting" dir="t">
            <a:rot lat="0" lon="0" rev="7800000"/>
          </a:lightRig>
        </a:scene3d>
        <a:sp3d>
          <a:bevelT w="139700" h="1397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ro-MD" sz="1100">
              <a:solidFill>
                <a:srgbClr val="374C4A"/>
              </a:solidFill>
              <a:latin typeface="PermianSerifTypeface" panose="02000000000000000000" pitchFamily="50" charset="0"/>
            </a:rPr>
            <a:t>matricele</a:t>
          </a:r>
        </a:p>
      </xdr:txBody>
    </xdr:sp>
    <xdr:clientData/>
  </xdr:twoCellAnchor>
  <xdr:twoCellAnchor>
    <xdr:from>
      <xdr:col>1</xdr:col>
      <xdr:colOff>0</xdr:colOff>
      <xdr:row>9</xdr:row>
      <xdr:rowOff>9525</xdr:rowOff>
    </xdr:from>
    <xdr:to>
      <xdr:col>2</xdr:col>
      <xdr:colOff>362400</xdr:colOff>
      <xdr:row>10</xdr:row>
      <xdr:rowOff>187575</xdr:rowOff>
    </xdr:to>
    <xdr:sp macro="" textlink="">
      <xdr:nvSpPr>
        <xdr:cNvPr id="6" name="Arrow: Right 5">
          <a:hlinkClick xmlns:r="http://schemas.openxmlformats.org/officeDocument/2006/relationships" r:id="rId2"/>
          <a:extLst>
            <a:ext uri="{FF2B5EF4-FFF2-40B4-BE49-F238E27FC236}">
              <a16:creationId xmlns:a16="http://schemas.microsoft.com/office/drawing/2014/main" id="{CD7DAC94-B6DD-4166-BF97-8784971E42ED}"/>
            </a:ext>
          </a:extLst>
        </xdr:cNvPr>
        <xdr:cNvSpPr/>
      </xdr:nvSpPr>
      <xdr:spPr>
        <a:xfrm flipH="1">
          <a:off x="333375" y="6200775"/>
          <a:ext cx="972000" cy="540000"/>
        </a:xfrm>
        <a:prstGeom prst="rightArrow">
          <a:avLst/>
        </a:prstGeom>
        <a:solidFill>
          <a:srgbClr val="C2B3A3"/>
        </a:solidFill>
        <a:ln w="19050" cap="flat" cmpd="sng" algn="ctr">
          <a:noFill/>
          <a:prstDash val="solid"/>
          <a:miter lim="800000"/>
        </a:ln>
        <a:effectLst/>
        <a:scene3d>
          <a:camera prst="orthographicFront">
            <a:rot lat="0" lon="0" rev="0"/>
          </a:camera>
          <a:lightRig rig="contrasting" dir="t">
            <a:rot lat="0" lon="0" rev="13200000"/>
          </a:lightRig>
        </a:scene3d>
        <a:sp3d>
          <a:bevelT w="139700" h="139700"/>
        </a:sp3d>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ro-MD" sz="1100" b="0" i="0" u="none" strike="noStrike" kern="0" cap="none" spc="0" normalizeH="0" baseline="0" noProof="0">
              <a:ln>
                <a:noFill/>
              </a:ln>
              <a:solidFill>
                <a:srgbClr val="374C4A"/>
              </a:solidFill>
              <a:effectLst/>
              <a:uLnTx/>
              <a:uFillTx/>
              <a:latin typeface="PermianSerifTypeface" panose="02000000000000000000" pitchFamily="50" charset="0"/>
              <a:ea typeface="+mn-ea"/>
              <a:cs typeface="+mn-cs"/>
            </a:rPr>
            <a:t>conținut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3FD7B7-BB03-41E9-B7DE-B5235D0109A1}" name="perioada" displayName="perioada" ref="A1:A24" totalsRowShown="0" dataDxfId="50" dataCellStyle="Normal 7">
  <autoFilter ref="A1:A24" xr:uid="{443FD7B7-BB03-41E9-B7DE-B5235D0109A1}"/>
  <tableColumns count="1">
    <tableColumn id="1" xr3:uid="{D9A327FE-C044-4611-9CC3-22F9E9F0AC24}" name="perioada" dataDxfId="49" dataCellStyle="Normal 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Yellow">
      <a:dk1>
        <a:sysClr val="windowText" lastClr="000000"/>
      </a:dk1>
      <a:lt1>
        <a:sysClr val="window" lastClr="FFFFFF"/>
      </a:lt1>
      <a:dk2>
        <a:srgbClr val="39302A"/>
      </a:dk2>
      <a:lt2>
        <a:srgbClr val="E5DEDB"/>
      </a:lt2>
      <a:accent1>
        <a:srgbClr val="FFCA08"/>
      </a:accent1>
      <a:accent2>
        <a:srgbClr val="F8931D"/>
      </a:accent2>
      <a:accent3>
        <a:srgbClr val="CE8D3E"/>
      </a:accent3>
      <a:accent4>
        <a:srgbClr val="EC7016"/>
      </a:accent4>
      <a:accent5>
        <a:srgbClr val="E64823"/>
      </a:accent5>
      <a:accent6>
        <a:srgbClr val="9C6A6A"/>
      </a:accent6>
      <a:hlink>
        <a:srgbClr val="2998E3"/>
      </a:hlink>
      <a:folHlink>
        <a:srgbClr val="7F723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cap="flat" cmpd="sng" algn="ctr">
          <a:noFill/>
          <a:prstDash val="solid"/>
          <a:miter lim="800000"/>
        </a:ln>
        <a:effectLst/>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kumimoji="0" sz="1100" b="0" i="0" u="none" strike="noStrike" kern="0" cap="none" spc="0" normalizeH="0" baseline="0" noProof="0" smtClean="0">
            <a:ln>
              <a:noFill/>
            </a:ln>
            <a:solidFill>
              <a:sysClr val="window" lastClr="FFFFFF"/>
            </a:solidFill>
            <a:effectLst/>
            <a:uLnTx/>
            <a:uFillTx/>
            <a:latin typeface="Aptos Narrow" panose="02110004020202020204"/>
            <a:ea typeface="+mn-ea"/>
            <a:cs typeface="+mn-cs"/>
          </a:defRPr>
        </a:defPPr>
      </a:lst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77A2F-3EF5-47CC-B09C-D62C575133DE}">
  <sheetPr codeName="Sheet2">
    <tabColor rgb="FF374C4A"/>
    <pageSetUpPr fitToPage="1"/>
  </sheetPr>
  <dimension ref="A1:Q26"/>
  <sheetViews>
    <sheetView showGridLines="0" showRowColHeaders="0" tabSelected="1" workbookViewId="0"/>
  </sheetViews>
  <sheetFormatPr defaultColWidth="0" defaultRowHeight="15" zeroHeight="1" x14ac:dyDescent="0.25"/>
  <cols>
    <col min="1" max="1" customWidth="true" style="29" width="5.0" collapsed="false"/>
    <col min="2" max="2" customWidth="true" style="29" width="10.85546875" collapsed="false"/>
    <col min="3" max="16" customWidth="true" style="29" width="9.140625" collapsed="false"/>
    <col min="17" max="17" customWidth="true" style="29" width="5.0" collapsed="false"/>
    <col min="18" max="16384" hidden="true" style="29" width="9.140625" collapsed="false"/>
  </cols>
  <sheetData>
    <row r="1" spans="1:17" ht="26.25" customHeight="1" x14ac:dyDescent="0.25">
      <c r="A1" s="28"/>
      <c r="B1" s="28"/>
      <c r="C1" s="28"/>
      <c r="D1" s="28"/>
      <c r="E1" s="28"/>
      <c r="F1" s="28"/>
      <c r="G1" s="28"/>
      <c r="H1" s="28"/>
      <c r="I1" s="28"/>
      <c r="J1" s="28"/>
      <c r="K1" s="28"/>
      <c r="L1" s="28"/>
      <c r="M1" s="28"/>
      <c r="N1" s="28"/>
      <c r="O1" s="28"/>
      <c r="P1" s="28"/>
      <c r="Q1" s="28"/>
    </row>
    <row r="2" spans="1:17" x14ac:dyDescent="0.25">
      <c r="A2" s="28"/>
      <c r="B2" s="30"/>
      <c r="C2" s="31"/>
      <c r="D2" s="31"/>
      <c r="E2" s="31"/>
      <c r="F2" s="31"/>
      <c r="G2" s="31"/>
      <c r="H2" s="31"/>
      <c r="I2" s="31"/>
      <c r="J2" s="31"/>
      <c r="K2" s="31"/>
      <c r="L2" s="31"/>
      <c r="M2" s="31"/>
      <c r="N2" s="31"/>
      <c r="O2" s="32"/>
      <c r="P2" s="33"/>
      <c r="Q2" s="28"/>
    </row>
    <row r="3" spans="1:17" x14ac:dyDescent="0.25">
      <c r="A3" s="28"/>
      <c r="B3" s="34"/>
      <c r="C3" s="28"/>
      <c r="D3" s="28"/>
      <c r="E3" s="28"/>
      <c r="F3" s="28"/>
      <c r="G3" s="28"/>
      <c r="H3" s="28"/>
      <c r="I3" s="28"/>
      <c r="J3" s="28"/>
      <c r="K3" s="28"/>
      <c r="L3" s="28"/>
      <c r="M3" s="28"/>
      <c r="N3" s="28"/>
      <c r="O3" s="35" t="s">
        <v>83</v>
      </c>
      <c r="P3" s="36"/>
      <c r="Q3" s="28"/>
    </row>
    <row r="4" spans="1:17" x14ac:dyDescent="0.25">
      <c r="A4" s="28"/>
      <c r="B4" s="34"/>
      <c r="C4" s="28"/>
      <c r="D4" s="28"/>
      <c r="E4" s="28"/>
      <c r="F4" s="28"/>
      <c r="G4" s="28"/>
      <c r="H4" s="28"/>
      <c r="I4" s="28"/>
      <c r="J4" s="28"/>
      <c r="K4" s="28"/>
      <c r="L4" s="28"/>
      <c r="M4" s="28"/>
      <c r="N4" s="28"/>
      <c r="O4" s="28"/>
      <c r="P4" s="36"/>
      <c r="Q4" s="28"/>
    </row>
    <row r="5" spans="1:17" x14ac:dyDescent="0.25">
      <c r="A5" s="28"/>
      <c r="B5" s="34"/>
      <c r="C5" s="28"/>
      <c r="D5" s="28"/>
      <c r="E5" s="28"/>
      <c r="F5" s="28"/>
      <c r="G5" s="28"/>
      <c r="H5" s="28"/>
      <c r="I5" s="28"/>
      <c r="J5" s="28"/>
      <c r="K5" s="28"/>
      <c r="L5" s="28"/>
      <c r="M5" s="28"/>
      <c r="N5" s="28"/>
      <c r="O5" s="28"/>
      <c r="P5" s="36"/>
      <c r="Q5" s="28"/>
    </row>
    <row r="6" spans="1:17" x14ac:dyDescent="0.25">
      <c r="A6" s="28"/>
      <c r="B6" s="34"/>
      <c r="C6" s="28"/>
      <c r="D6" s="28"/>
      <c r="E6" s="28"/>
      <c r="F6" s="28"/>
      <c r="G6" s="28"/>
      <c r="H6" s="28"/>
      <c r="I6" s="28"/>
      <c r="J6" s="28"/>
      <c r="K6" s="28"/>
      <c r="L6" s="28"/>
      <c r="M6" s="28"/>
      <c r="N6" s="28"/>
      <c r="O6" s="28"/>
      <c r="P6" s="36"/>
      <c r="Q6" s="28"/>
    </row>
    <row r="7" spans="1:17" x14ac:dyDescent="0.25">
      <c r="A7" s="28"/>
      <c r="B7" s="34"/>
      <c r="C7" s="28"/>
      <c r="D7" s="28"/>
      <c r="E7" s="28"/>
      <c r="F7" s="28"/>
      <c r="G7" s="28"/>
      <c r="H7" s="28"/>
      <c r="I7" s="28"/>
      <c r="J7" s="28"/>
      <c r="K7" s="28"/>
      <c r="L7" s="28"/>
      <c r="M7" s="28"/>
      <c r="N7" s="28"/>
      <c r="O7" s="28"/>
      <c r="P7" s="36"/>
      <c r="Q7" s="28"/>
    </row>
    <row r="8" spans="1:17" ht="27.75" x14ac:dyDescent="0.4">
      <c r="A8" s="28"/>
      <c r="B8" s="34"/>
      <c r="C8" s="37" t="s">
        <v>69</v>
      </c>
      <c r="D8" s="28"/>
      <c r="E8" s="28"/>
      <c r="F8" s="28"/>
      <c r="G8" s="28"/>
      <c r="H8" s="28"/>
      <c r="I8" s="28"/>
      <c r="J8" s="28"/>
      <c r="K8" s="28"/>
      <c r="L8" s="28"/>
      <c r="M8" s="28"/>
      <c r="N8" s="28"/>
      <c r="O8" s="28"/>
      <c r="P8" s="36"/>
      <c r="Q8" s="28"/>
    </row>
    <row r="9" spans="1:17" ht="20.25" x14ac:dyDescent="0.3">
      <c r="A9" s="28"/>
      <c r="B9" s="34"/>
      <c r="C9" s="38" t="s">
        <v>70</v>
      </c>
      <c r="D9" s="28"/>
      <c r="E9" s="28"/>
      <c r="F9" s="28"/>
      <c r="G9" s="28"/>
      <c r="H9" s="28"/>
      <c r="I9" s="28"/>
      <c r="J9" s="28"/>
      <c r="K9" s="28"/>
      <c r="L9" s="28"/>
      <c r="M9" s="28"/>
      <c r="N9" s="28"/>
      <c r="O9" s="28"/>
      <c r="P9" s="36"/>
      <c r="Q9" s="28"/>
    </row>
    <row r="10" spans="1:17" ht="35.25" customHeight="1" x14ac:dyDescent="0.3">
      <c r="A10" s="28"/>
      <c r="B10" s="34"/>
      <c r="C10" s="39" t="s">
        <v>79</v>
      </c>
      <c r="D10" s="28"/>
      <c r="E10" s="28"/>
      <c r="F10" s="28"/>
      <c r="G10" s="28"/>
      <c r="H10" s="28"/>
      <c r="I10" s="28"/>
      <c r="J10" s="28"/>
      <c r="K10" s="28"/>
      <c r="L10" s="28"/>
      <c r="M10" s="28"/>
      <c r="N10" s="28"/>
      <c r="O10" s="28"/>
      <c r="P10" s="36"/>
      <c r="Q10" s="28"/>
    </row>
    <row r="11" spans="1:17" ht="20.25" x14ac:dyDescent="0.3">
      <c r="A11" s="28"/>
      <c r="B11" s="34"/>
      <c r="C11" s="39"/>
      <c r="D11" s="39"/>
      <c r="E11" s="39"/>
      <c r="F11" s="39"/>
      <c r="G11" s="39"/>
      <c r="H11" s="39"/>
      <c r="I11" s="39"/>
      <c r="J11" s="39"/>
      <c r="K11" s="39"/>
      <c r="L11" s="39"/>
      <c r="M11" s="39"/>
      <c r="N11" s="39"/>
      <c r="O11" s="28"/>
      <c r="P11" s="36"/>
      <c r="Q11" s="28"/>
    </row>
    <row r="12" spans="1:17" ht="9" customHeight="1" x14ac:dyDescent="0.3">
      <c r="A12" s="28"/>
      <c r="B12" s="34"/>
      <c r="C12" s="39"/>
      <c r="D12" s="39"/>
      <c r="E12" s="39"/>
      <c r="F12" s="39"/>
      <c r="G12" s="39"/>
      <c r="H12" s="39"/>
      <c r="I12" s="39"/>
      <c r="J12" s="39"/>
      <c r="K12" s="39"/>
      <c r="L12" s="39"/>
      <c r="M12" s="39"/>
      <c r="N12" s="39"/>
      <c r="O12" s="28"/>
      <c r="P12" s="36"/>
      <c r="Q12" s="28"/>
    </row>
    <row r="13" spans="1:17" ht="18.75" x14ac:dyDescent="0.3">
      <c r="A13" s="28"/>
      <c r="B13" s="34"/>
      <c r="C13" s="28"/>
      <c r="D13" s="40" t="s">
        <v>64</v>
      </c>
      <c r="E13" s="28"/>
      <c r="F13" s="28"/>
      <c r="G13" s="28"/>
      <c r="H13" s="28"/>
      <c r="I13" s="28"/>
      <c r="J13" s="28"/>
      <c r="K13" s="28"/>
      <c r="L13" s="28"/>
      <c r="M13" s="28"/>
      <c r="N13" s="28"/>
      <c r="O13" s="28"/>
      <c r="P13" s="36"/>
      <c r="Q13" s="28"/>
    </row>
    <row r="14" spans="1:17" ht="15.75" x14ac:dyDescent="0.25">
      <c r="A14" s="28"/>
      <c r="B14" s="34"/>
      <c r="C14" s="28"/>
      <c r="D14" s="41"/>
      <c r="E14" s="28"/>
      <c r="F14" s="28"/>
      <c r="G14" s="28"/>
      <c r="H14" s="28"/>
      <c r="I14" s="28"/>
      <c r="J14" s="28"/>
      <c r="K14" s="28"/>
      <c r="L14" s="28"/>
      <c r="M14" s="28"/>
      <c r="N14" s="28"/>
      <c r="O14" s="28"/>
      <c r="P14" s="36"/>
      <c r="Q14" s="28"/>
    </row>
    <row r="15" spans="1:17" ht="15.75" x14ac:dyDescent="0.25">
      <c r="A15" s="28"/>
      <c r="B15" s="34"/>
      <c r="C15" s="28"/>
      <c r="D15" s="42" t="s">
        <v>65</v>
      </c>
      <c r="E15" s="28"/>
      <c r="F15" s="28"/>
      <c r="G15" s="28"/>
      <c r="H15" s="28"/>
      <c r="I15" s="28"/>
      <c r="J15" s="28"/>
      <c r="K15" s="28"/>
      <c r="L15" s="28"/>
      <c r="M15" s="28"/>
      <c r="N15" s="28"/>
      <c r="O15" s="28"/>
      <c r="P15" s="36"/>
      <c r="Q15" s="28"/>
    </row>
    <row r="16" spans="1:17" ht="15.75" x14ac:dyDescent="0.25">
      <c r="A16" s="28"/>
      <c r="B16" s="34"/>
      <c r="C16" s="28"/>
      <c r="D16" s="42" t="s">
        <v>66</v>
      </c>
      <c r="E16" s="28"/>
      <c r="F16" s="28"/>
      <c r="G16" s="28"/>
      <c r="H16" s="28"/>
      <c r="I16" s="28"/>
      <c r="J16" s="28"/>
      <c r="K16" s="28"/>
      <c r="L16" s="28"/>
      <c r="M16" s="28"/>
      <c r="N16" s="28"/>
      <c r="O16" s="28"/>
      <c r="P16" s="36"/>
      <c r="Q16" s="28"/>
    </row>
    <row r="17" spans="1:17" x14ac:dyDescent="0.25">
      <c r="A17" s="28"/>
      <c r="B17" s="34"/>
      <c r="C17" s="28"/>
      <c r="D17" s="43" t="s">
        <v>67</v>
      </c>
      <c r="E17" s="28"/>
      <c r="F17" s="28"/>
      <c r="G17" s="28"/>
      <c r="H17" s="28"/>
      <c r="I17" s="28"/>
      <c r="J17" s="28"/>
      <c r="K17" s="28"/>
      <c r="L17" s="28"/>
      <c r="M17" s="28"/>
      <c r="N17" s="28"/>
      <c r="O17" s="28"/>
      <c r="P17" s="36"/>
      <c r="Q17" s="28"/>
    </row>
    <row r="18" spans="1:17" x14ac:dyDescent="0.25">
      <c r="A18" s="28"/>
      <c r="B18" s="34"/>
      <c r="C18" s="28"/>
      <c r="D18" s="43" t="s">
        <v>68</v>
      </c>
      <c r="E18" s="28"/>
      <c r="F18" s="28"/>
      <c r="G18" s="28"/>
      <c r="H18" s="28"/>
      <c r="I18" s="28"/>
      <c r="J18" s="28"/>
      <c r="K18" s="28"/>
      <c r="L18" s="28"/>
      <c r="M18" s="28"/>
      <c r="N18" s="28"/>
      <c r="O18" s="28"/>
      <c r="P18" s="36"/>
      <c r="Q18" s="28"/>
    </row>
    <row r="19" spans="1:17" ht="120.75" customHeight="1" x14ac:dyDescent="0.25">
      <c r="A19" s="28"/>
      <c r="B19" s="34"/>
      <c r="C19" s="44"/>
      <c r="D19" s="44"/>
      <c r="E19" s="44"/>
      <c r="F19" s="44"/>
      <c r="G19" s="44"/>
      <c r="H19" s="44"/>
      <c r="I19" s="44"/>
      <c r="J19" s="44"/>
      <c r="K19" s="44"/>
      <c r="L19" s="44"/>
      <c r="M19" s="44"/>
      <c r="N19" s="44"/>
      <c r="O19" s="44"/>
      <c r="P19" s="36"/>
      <c r="Q19" s="28"/>
    </row>
    <row r="20" spans="1:17" x14ac:dyDescent="0.25">
      <c r="A20" s="28"/>
      <c r="B20" s="34"/>
      <c r="C20" s="44"/>
      <c r="D20" s="44"/>
      <c r="E20" s="44"/>
      <c r="F20" s="44"/>
      <c r="G20" s="44"/>
      <c r="H20" s="44"/>
      <c r="I20" s="44"/>
      <c r="J20" s="44"/>
      <c r="K20" s="44"/>
      <c r="L20" s="44"/>
      <c r="M20" s="44"/>
      <c r="N20" s="44"/>
      <c r="O20" s="44"/>
      <c r="P20" s="36"/>
      <c r="Q20" s="28"/>
    </row>
    <row r="21" spans="1:17" x14ac:dyDescent="0.25">
      <c r="A21" s="28"/>
      <c r="B21" s="34"/>
      <c r="C21" s="44"/>
      <c r="D21" s="44"/>
      <c r="E21" s="44"/>
      <c r="F21" s="44"/>
      <c r="G21" s="44"/>
      <c r="H21" s="44"/>
      <c r="I21" s="44"/>
      <c r="J21" s="44"/>
      <c r="K21" s="44"/>
      <c r="L21" s="44"/>
      <c r="M21" s="44"/>
      <c r="N21" s="44"/>
      <c r="O21" s="44"/>
      <c r="P21" s="36"/>
      <c r="Q21" s="28"/>
    </row>
    <row r="22" spans="1:17" x14ac:dyDescent="0.25">
      <c r="A22" s="28"/>
      <c r="B22" s="34"/>
      <c r="C22" s="44"/>
      <c r="D22" s="44"/>
      <c r="E22" s="44"/>
      <c r="F22" s="44"/>
      <c r="G22" s="44"/>
      <c r="H22" s="44"/>
      <c r="I22" s="44"/>
      <c r="J22" s="44"/>
      <c r="K22" s="44"/>
      <c r="L22" s="44"/>
      <c r="M22" s="44"/>
      <c r="N22" s="44"/>
      <c r="O22" s="44"/>
      <c r="P22" s="36"/>
      <c r="Q22" s="28"/>
    </row>
    <row r="23" spans="1:17" x14ac:dyDescent="0.25">
      <c r="A23" s="28"/>
      <c r="B23" s="34"/>
      <c r="C23" s="44"/>
      <c r="D23" s="44"/>
      <c r="E23" s="44"/>
      <c r="F23" s="44"/>
      <c r="G23" s="44"/>
      <c r="H23" s="44"/>
      <c r="I23" s="44"/>
      <c r="J23" s="44"/>
      <c r="K23" s="44"/>
      <c r="L23" s="44"/>
      <c r="M23" s="44"/>
      <c r="N23" s="44"/>
      <c r="O23" s="44"/>
      <c r="P23" s="36"/>
      <c r="Q23" s="28"/>
    </row>
    <row r="24" spans="1:17" x14ac:dyDescent="0.25">
      <c r="A24" s="28"/>
      <c r="B24" s="34"/>
      <c r="C24" s="28"/>
      <c r="D24" s="28"/>
      <c r="E24" s="28"/>
      <c r="F24" s="28"/>
      <c r="G24" s="28"/>
      <c r="H24" s="28"/>
      <c r="I24" s="28"/>
      <c r="J24" s="28"/>
      <c r="K24" s="28"/>
      <c r="L24" s="28"/>
      <c r="M24" s="28"/>
      <c r="N24" s="28"/>
      <c r="O24" s="28"/>
      <c r="P24" s="36"/>
      <c r="Q24" s="28"/>
    </row>
    <row r="25" spans="1:17" x14ac:dyDescent="0.25">
      <c r="A25" s="28"/>
      <c r="B25" s="45"/>
      <c r="C25" s="46"/>
      <c r="D25" s="46"/>
      <c r="E25" s="46"/>
      <c r="F25" s="46"/>
      <c r="G25" s="46"/>
      <c r="H25" s="46"/>
      <c r="I25" s="46"/>
      <c r="J25" s="46"/>
      <c r="K25" s="46"/>
      <c r="L25" s="46"/>
      <c r="M25" s="46"/>
      <c r="N25" s="46"/>
      <c r="O25" s="46"/>
      <c r="P25" s="47"/>
      <c r="Q25" s="28"/>
    </row>
    <row r="26" spans="1:17" ht="26.25" customHeight="1" x14ac:dyDescent="0.25">
      <c r="A26" s="28"/>
      <c r="B26" s="28"/>
      <c r="C26" s="28"/>
      <c r="D26" s="28"/>
      <c r="E26" s="28"/>
      <c r="F26" s="28"/>
      <c r="G26" s="28"/>
      <c r="H26" s="28"/>
      <c r="I26" s="28"/>
      <c r="J26" s="28"/>
      <c r="K26" s="28"/>
      <c r="L26" s="28"/>
      <c r="M26" s="28"/>
      <c r="N26" s="28"/>
      <c r="O26" s="28"/>
      <c r="P26" s="28"/>
      <c r="Q26" s="28"/>
    </row>
  </sheetData>
  <hyperlinks>
    <hyperlink ref="D15" location="'nota explicativă'!A1" display="nota explicativă" xr:uid="{3B739405-CC29-4087-B1D1-D9A404BB361E}"/>
    <hyperlink ref="D16" location="matricele!A1" display="matricele" xr:uid="{BF1CBACC-6D05-4480-8683-70DADDC24E2D}"/>
    <hyperlink ref="D17" location="'seriile dinamice active'!A1" display="seriile dinamice aferente activelor" xr:uid="{A045280B-F8C4-4FD9-971E-286E25E55773}"/>
    <hyperlink ref="D18" location="'seriile dinamice pasive '!A1" display="seriile dinamice aferente pasivelor" xr:uid="{5B042B95-B1E7-490B-A5E3-FACFFF9BA0BD}"/>
  </hyperlinks>
  <pageMargins left="0.70866141732283472" right="0.70866141732283472" top="0.74803149606299213" bottom="0.74803149606299213" header="0.31496062992125984" footer="0.31496062992125984"/>
  <pageSetup paperSize="8"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E551-0AC4-4F17-814D-A698107F5FD0}">
  <sheetPr codeName="Sheet1">
    <tabColor rgb="FFC2B3A3"/>
    <pageSetUpPr fitToPage="1"/>
  </sheetPr>
  <dimension ref="B1:D24"/>
  <sheetViews>
    <sheetView showGridLines="0" showRowColHeaders="0" workbookViewId="0"/>
  </sheetViews>
  <sheetFormatPr defaultColWidth="0" defaultRowHeight="15" zeroHeight="1" x14ac:dyDescent="0.25"/>
  <cols>
    <col min="1" max="1" customWidth="true" style="48" width="5.0" collapsed="false"/>
    <col min="2" max="2" customWidth="true" style="48" width="9.140625" collapsed="false"/>
    <col min="3" max="3" customWidth="true" style="48" width="165.7109375" collapsed="false"/>
    <col min="4" max="4" customWidth="true" style="48" width="9.140625" collapsed="false"/>
    <col min="5" max="5" customWidth="true" style="48" width="5.0" collapsed="false"/>
    <col min="6" max="16384" hidden="true" style="48" width="9.140625" collapsed="false"/>
  </cols>
  <sheetData>
    <row r="1" spans="2:4" ht="26.25" customHeight="1" x14ac:dyDescent="0.25"/>
    <row r="2" spans="2:4" x14ac:dyDescent="0.25">
      <c r="B2" s="49"/>
      <c r="C2" s="50"/>
      <c r="D2" s="51"/>
    </row>
    <row r="3" spans="2:4" ht="26.25" x14ac:dyDescent="0.4">
      <c r="B3" s="52"/>
      <c r="C3" s="53" t="s">
        <v>71</v>
      </c>
      <c r="D3" s="54"/>
    </row>
    <row r="4" spans="2:4" x14ac:dyDescent="0.25">
      <c r="B4" s="52"/>
      <c r="D4" s="54"/>
    </row>
    <row r="5" spans="2:4" ht="124.5" customHeight="1" x14ac:dyDescent="0.25">
      <c r="B5" s="52"/>
      <c r="C5" s="55" t="s">
        <v>72</v>
      </c>
      <c r="D5" s="54"/>
    </row>
    <row r="6" spans="2:4" ht="59.25" customHeight="1" x14ac:dyDescent="0.25">
      <c r="B6" s="52"/>
      <c r="C6" s="55" t="s">
        <v>73</v>
      </c>
      <c r="D6" s="54"/>
    </row>
    <row r="7" spans="2:4" ht="67.5" customHeight="1" x14ac:dyDescent="0.25">
      <c r="B7" s="52"/>
      <c r="C7" s="55" t="s">
        <v>74</v>
      </c>
      <c r="D7" s="54"/>
    </row>
    <row r="8" spans="2:4" ht="78.75" customHeight="1" x14ac:dyDescent="0.25">
      <c r="B8" s="52"/>
      <c r="C8" s="55" t="s">
        <v>75</v>
      </c>
      <c r="D8" s="54"/>
    </row>
    <row r="9" spans="2:4" ht="18.75" x14ac:dyDescent="0.25">
      <c r="B9" s="52"/>
      <c r="C9" s="55"/>
      <c r="D9" s="54"/>
    </row>
    <row r="10" spans="2:4" ht="28.5" customHeight="1" x14ac:dyDescent="0.25">
      <c r="B10" s="52"/>
      <c r="D10" s="54"/>
    </row>
    <row r="11" spans="2:4" x14ac:dyDescent="0.25">
      <c r="B11" s="56"/>
      <c r="C11" s="57"/>
      <c r="D11" s="58"/>
    </row>
    <row r="12" spans="2:4" ht="26.25" customHeight="1" x14ac:dyDescent="0.25"/>
    <row r="17" s="48" customFormat="1" hidden="1" x14ac:dyDescent="0.25"/>
    <row r="18" s="48" customFormat="1" hidden="1" x14ac:dyDescent="0.25"/>
    <row r="19" s="48" customFormat="1" hidden="1" x14ac:dyDescent="0.25"/>
    <row r="20" s="48" customFormat="1" hidden="1" x14ac:dyDescent="0.25"/>
    <row r="21" s="48" customFormat="1" hidden="1" x14ac:dyDescent="0.25"/>
    <row r="22" s="48" customFormat="1" hidden="1" x14ac:dyDescent="0.25"/>
    <row r="23" s="48" customFormat="1" hidden="1" x14ac:dyDescent="0.25"/>
    <row r="24" s="48" customFormat="1" hidden="1" x14ac:dyDescent="0.25"/>
  </sheetData>
  <pageMargins left="0.70866141732283472" right="0.70866141732283472" top="0.74803149606299213" bottom="0.74803149606299213"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D1D4C-468B-40F1-B3DC-D933E417AA2A}">
  <sheetPr codeName="Sheet3">
    <tabColor rgb="FF754B42"/>
    <outlinePr summaryBelow="0" summaryRight="0"/>
    <pageSetUpPr fitToPage="1"/>
  </sheetPr>
  <dimension ref="B1:P79"/>
  <sheetViews>
    <sheetView showGridLines="0" showWhiteSpace="0" zoomScaleNormal="100" workbookViewId="0"/>
  </sheetViews>
  <sheetFormatPr defaultColWidth="0" defaultRowHeight="15" zeroHeight="1" outlineLevelRow="1" outlineLevelCol="1" x14ac:dyDescent="0.25"/>
  <cols>
    <col min="1" max="2" customWidth="true" style="59" width="7.7109375" collapsed="false"/>
    <col min="3" max="7" customWidth="true" style="59" width="13.5703125" collapsed="false"/>
    <col min="8" max="10" customWidth="true" style="59" width="13.5703125" outlineLevel="1" collapsed="false"/>
    <col min="11" max="15" customWidth="true" style="59" width="13.5703125" collapsed="false"/>
    <col min="16" max="16" customWidth="true" style="59" width="7.7109375" collapsed="false"/>
    <col min="17" max="17" customWidth="true" hidden="true" style="59" width="0.0" collapsed="false"/>
    <col min="18" max="16384" hidden="true" style="59" width="11.0" collapsed="false"/>
  </cols>
  <sheetData>
    <row r="1" spans="2:16" ht="30" customHeight="1" x14ac:dyDescent="0.25"/>
    <row r="2" spans="2:16" x14ac:dyDescent="0.25">
      <c r="B2" s="60"/>
      <c r="C2" s="61"/>
      <c r="D2" s="61"/>
      <c r="E2" s="61"/>
      <c r="F2" s="61"/>
      <c r="G2" s="61"/>
      <c r="H2" s="61"/>
      <c r="I2" s="61"/>
      <c r="J2" s="61"/>
      <c r="K2" s="61"/>
      <c r="L2" s="61"/>
      <c r="M2" s="61"/>
      <c r="N2" s="61"/>
      <c r="O2" s="62"/>
    </row>
    <row r="3" spans="2:16" ht="61.5" customHeight="1" x14ac:dyDescent="0.25">
      <c r="B3" s="63"/>
      <c r="C3" s="133" t="s">
        <v>20</v>
      </c>
      <c r="D3" s="133"/>
      <c r="E3" s="133"/>
      <c r="F3" s="133"/>
      <c r="G3" s="133"/>
      <c r="H3" s="133"/>
      <c r="I3" s="133"/>
      <c r="J3" s="133"/>
      <c r="K3" s="133"/>
      <c r="L3" s="133"/>
      <c r="M3" s="133"/>
      <c r="N3" s="133"/>
      <c r="O3" s="64"/>
    </row>
    <row r="4" spans="2:16" ht="20.25" x14ac:dyDescent="0.3">
      <c r="B4" s="63"/>
      <c r="C4" s="65" t="str">
        <f>"Trimestrul "&amp;MID(F7,4,8)&amp;", milioane lei"</f>
        <v>Trimestrul III 2025, milioane lei</v>
      </c>
      <c r="O4" s="66"/>
    </row>
    <row r="5" spans="2:16" x14ac:dyDescent="0.25">
      <c r="B5" s="63"/>
      <c r="C5" s="67"/>
      <c r="D5" s="67"/>
      <c r="E5" s="67"/>
      <c r="F5" s="67"/>
      <c r="G5" s="67"/>
      <c r="H5" s="67"/>
      <c r="I5" s="67"/>
      <c r="J5" s="67"/>
      <c r="K5" s="67"/>
      <c r="L5" s="67"/>
      <c r="M5" s="67"/>
      <c r="N5" s="67"/>
      <c r="O5" s="68"/>
    </row>
    <row r="6" spans="2:16" ht="60.75" customHeight="1" thickBot="1" x14ac:dyDescent="0.3">
      <c r="B6" s="63"/>
      <c r="C6" s="134" t="s">
        <v>63</v>
      </c>
      <c r="D6" s="134"/>
      <c r="E6" s="134"/>
      <c r="F6" s="134"/>
      <c r="G6" s="134"/>
      <c r="H6" s="134"/>
      <c r="I6" s="134"/>
      <c r="J6" s="134"/>
      <c r="K6" s="134"/>
      <c r="L6" s="134"/>
      <c r="M6" s="134"/>
      <c r="N6" s="134"/>
      <c r="O6" s="69"/>
    </row>
    <row r="7" spans="2:16" ht="34.5" customHeight="1" thickBot="1" x14ac:dyDescent="0.3">
      <c r="B7" s="63"/>
      <c r="C7" s="135" t="s">
        <v>39</v>
      </c>
      <c r="D7" s="135"/>
      <c r="E7" s="136"/>
      <c r="F7" s="70" t="s">
        <v>81</v>
      </c>
      <c r="G7" s="71"/>
      <c r="H7" s="71"/>
      <c r="I7" s="71"/>
      <c r="J7" s="71"/>
      <c r="K7" s="71"/>
      <c r="L7" s="71"/>
      <c r="M7" s="71"/>
      <c r="N7" s="71"/>
      <c r="O7" s="69"/>
    </row>
    <row r="8" spans="2:16" ht="15.75" customHeight="1" x14ac:dyDescent="0.3">
      <c r="B8" s="63"/>
      <c r="C8" s="72" t="s">
        <v>6</v>
      </c>
      <c r="O8" s="66"/>
    </row>
    <row r="9" spans="2:16" ht="9.75" customHeight="1" x14ac:dyDescent="0.3">
      <c r="B9" s="63"/>
      <c r="O9" s="66"/>
      <c r="P9" s="73"/>
    </row>
    <row r="10" spans="2:16" ht="18" customHeight="1" x14ac:dyDescent="0.3">
      <c r="B10" s="63"/>
      <c r="C10" s="74"/>
      <c r="D10" s="75" t="s">
        <v>7</v>
      </c>
      <c r="E10" s="128" t="s">
        <v>13</v>
      </c>
      <c r="F10" s="128" t="s">
        <v>14</v>
      </c>
      <c r="G10" s="128" t="s">
        <v>15</v>
      </c>
      <c r="H10" s="130" t="s">
        <v>26</v>
      </c>
      <c r="I10" s="130" t="s">
        <v>16</v>
      </c>
      <c r="J10" s="130" t="s">
        <v>17</v>
      </c>
      <c r="K10" s="128" t="s">
        <v>18</v>
      </c>
      <c r="L10" s="128" t="s">
        <v>30</v>
      </c>
      <c r="M10" s="128" t="s">
        <v>19</v>
      </c>
      <c r="N10" s="129" t="s">
        <v>8</v>
      </c>
      <c r="O10" s="76"/>
    </row>
    <row r="11" spans="2:16" ht="18" customHeight="1" x14ac:dyDescent="0.3">
      <c r="B11" s="63"/>
      <c r="C11" s="77" t="s">
        <v>9</v>
      </c>
      <c r="D11" s="78"/>
      <c r="E11" s="128"/>
      <c r="F11" s="128"/>
      <c r="G11" s="128"/>
      <c r="H11" s="130"/>
      <c r="I11" s="130"/>
      <c r="J11" s="130"/>
      <c r="K11" s="128"/>
      <c r="L11" s="128"/>
      <c r="M11" s="128"/>
      <c r="N11" s="129"/>
      <c r="O11" s="76"/>
    </row>
    <row r="12" spans="2:16" ht="27.75" customHeight="1" x14ac:dyDescent="0.25">
      <c r="B12" s="63"/>
      <c r="C12" s="128" t="s">
        <v>13</v>
      </c>
      <c r="D12" s="128"/>
      <c r="E12" s="79"/>
      <c r="F12" s="80">
        <f t="shared" ref="F12:N12" si="0">F14+F18+F19+F13</f>
        <v>1502.4987023441968</v>
      </c>
      <c r="G12" s="80">
        <f t="shared" si="0"/>
        <v>924.42214681978373</v>
      </c>
      <c r="H12" s="81">
        <f t="shared" si="0"/>
        <v>932.30996713473553</v>
      </c>
      <c r="I12" s="81">
        <f t="shared" si="0"/>
        <v>-7.8878203149519379</v>
      </c>
      <c r="J12" s="81">
        <f t="shared" si="0"/>
        <v>0</v>
      </c>
      <c r="K12" s="80">
        <f t="shared" si="0"/>
        <v>-47.443991240000088</v>
      </c>
      <c r="L12" s="80">
        <f t="shared" si="0"/>
        <v>4029.6166016766219</v>
      </c>
      <c r="M12" s="80">
        <f t="shared" si="0"/>
        <v>1728.3901724091545</v>
      </c>
      <c r="N12" s="82">
        <f t="shared" si="0"/>
        <v>8137.4836320097565</v>
      </c>
      <c r="O12" s="83"/>
      <c r="P12" s="84"/>
    </row>
    <row r="13" spans="2:16" ht="27.75" customHeight="1" x14ac:dyDescent="0.25">
      <c r="B13" s="63"/>
      <c r="C13" s="128" t="s">
        <v>14</v>
      </c>
      <c r="D13" s="128"/>
      <c r="E13" s="80">
        <f t="shared" ref="E13:E21" si="1">F13+G13+K13+L13</f>
        <v>-69.749793686517293</v>
      </c>
      <c r="F13" s="79"/>
      <c r="G13" s="80">
        <f>H13+J13+I13</f>
        <v>-69.749793686517293</v>
      </c>
      <c r="H13" s="81">
        <f>HLOOKUP(F7,'seriile dinamice active'!F4:FA318,29,FALSE)</f>
        <v>-0.82535700000000034</v>
      </c>
      <c r="I13" s="81">
        <f>HLOOKUP(F7,'seriile dinamice active'!F4:FA318,30,FALSE)</f>
        <v>-68.924436686517296</v>
      </c>
      <c r="J13" s="81">
        <f>HLOOKUP(F7,'seriile dinamice active'!F4:FA318,31,FALSE)</f>
        <v>0</v>
      </c>
      <c r="K13" s="80">
        <f>HLOOKUP(F7,'seriile dinamice active'!F4:FA318,32,FALSE)</f>
        <v>0</v>
      </c>
      <c r="L13" s="80">
        <f>HLOOKUP(F7,'seriile dinamice active'!F4:FA318,33,FALSE)</f>
        <v>0</v>
      </c>
      <c r="M13" s="80">
        <f>HLOOKUP(F7,'seriile dinamice active'!F4:FA318,34,FALSE)</f>
        <v>1656.8222970403608</v>
      </c>
      <c r="N13" s="82">
        <f t="shared" ref="N13:N20" si="2">E13+M13</f>
        <v>1587.0725033538436</v>
      </c>
      <c r="O13" s="83"/>
      <c r="P13" s="85"/>
    </row>
    <row r="14" spans="2:16" ht="27.75" customHeight="1" x14ac:dyDescent="0.25">
      <c r="B14" s="63"/>
      <c r="C14" s="128" t="s">
        <v>15</v>
      </c>
      <c r="D14" s="128"/>
      <c r="E14" s="80">
        <f t="shared" si="1"/>
        <v>6400.580540056043</v>
      </c>
      <c r="F14" s="80">
        <f t="shared" ref="F14:M14" si="3">+F15+F17+F16</f>
        <v>1557.8648817338872</v>
      </c>
      <c r="G14" s="80">
        <f t="shared" si="3"/>
        <v>860.54304788553429</v>
      </c>
      <c r="H14" s="81">
        <f t="shared" si="3"/>
        <v>813.57662803000005</v>
      </c>
      <c r="I14" s="81">
        <f t="shared" si="3"/>
        <v>46.966419855534213</v>
      </c>
      <c r="J14" s="81">
        <f t="shared" si="3"/>
        <v>0</v>
      </c>
      <c r="K14" s="80">
        <f t="shared" si="3"/>
        <v>-47.443991240000088</v>
      </c>
      <c r="L14" s="80">
        <f t="shared" si="3"/>
        <v>4029.6166016766219</v>
      </c>
      <c r="M14" s="80">
        <f t="shared" si="3"/>
        <v>71.567875368793594</v>
      </c>
      <c r="N14" s="82">
        <f t="shared" si="2"/>
        <v>6472.1484154248365</v>
      </c>
      <c r="O14" s="83"/>
      <c r="P14" s="84"/>
    </row>
    <row r="15" spans="2:16" ht="27.75" customHeight="1" outlineLevel="1" x14ac:dyDescent="0.25">
      <c r="B15" s="63"/>
      <c r="C15" s="130" t="s">
        <v>26</v>
      </c>
      <c r="D15" s="130"/>
      <c r="E15" s="81">
        <f t="shared" si="1"/>
        <v>5482.080212435354</v>
      </c>
      <c r="F15" s="81">
        <f>HLOOKUP(F7,'seriile dinamice active'!F4:FA318,117,FALSE)</f>
        <v>1472.4889902531797</v>
      </c>
      <c r="G15" s="81">
        <f t="shared" ref="G15:G20" si="4">H15+J15+I15</f>
        <v>847.92482888553434</v>
      </c>
      <c r="H15" s="81">
        <f>HLOOKUP(F7,'seriile dinamice active'!F4:FA318,119,FALSE)</f>
        <v>800.9584090300001</v>
      </c>
      <c r="I15" s="81">
        <f>HLOOKUP(F7,'seriile dinamice active'!F4:FA318,120,FALSE)</f>
        <v>46.966419855534213</v>
      </c>
      <c r="J15" s="81">
        <f>HLOOKUP(F7,'seriile dinamice active'!F4:FA318,121,FALSE)</f>
        <v>0</v>
      </c>
      <c r="K15" s="81">
        <f>HLOOKUP(F7,'seriile dinamice active'!F4:FA318,122,FALSE)</f>
        <v>-47.443991240000088</v>
      </c>
      <c r="L15" s="81">
        <f>HLOOKUP(F7,'seriile dinamice active'!F4:FA318,123,FALSE)</f>
        <v>3209.1103845366401</v>
      </c>
      <c r="M15" s="81">
        <f>HLOOKUP(F7,'seriile dinamice active'!F4:FA318,124,FALSE)</f>
        <v>75.511154946668114</v>
      </c>
      <c r="N15" s="86">
        <f t="shared" si="2"/>
        <v>5557.5913673820223</v>
      </c>
      <c r="O15" s="83"/>
    </row>
    <row r="16" spans="2:16" ht="27.75" customHeight="1" outlineLevel="1" x14ac:dyDescent="0.25">
      <c r="B16" s="63"/>
      <c r="C16" s="130" t="s">
        <v>16</v>
      </c>
      <c r="D16" s="130"/>
      <c r="E16" s="81">
        <f t="shared" si="1"/>
        <v>918.53099034068919</v>
      </c>
      <c r="F16" s="81">
        <f>HLOOKUP(F7,'seriile dinamice active'!F4:FA318,162,FALSE)</f>
        <v>85.406554200707376</v>
      </c>
      <c r="G16" s="81">
        <f t="shared" si="4"/>
        <v>12.618219000000003</v>
      </c>
      <c r="H16" s="81">
        <f>HLOOKUP(F7,'seriile dinamice active'!F4:FA318,164,FALSE)</f>
        <v>12.618219000000003</v>
      </c>
      <c r="I16" s="79"/>
      <c r="J16" s="81">
        <f>HLOOKUP(F7,'seriile dinamice active'!F4:FA318,166,FALSE)</f>
        <v>0</v>
      </c>
      <c r="K16" s="81">
        <f>HLOOKUP(F7,'seriile dinamice active'!F4:FA318,167,FALSE)</f>
        <v>0</v>
      </c>
      <c r="L16" s="81">
        <f>HLOOKUP(F7,'seriile dinamice active'!F4:FA318,168,FALSE)</f>
        <v>820.5062171399818</v>
      </c>
      <c r="M16" s="81">
        <f>HLOOKUP(F7,'seriile dinamice active'!F4:FA318,169,FALSE)</f>
        <v>-3.9432795778745136</v>
      </c>
      <c r="N16" s="86">
        <f t="shared" si="2"/>
        <v>914.58771076281471</v>
      </c>
      <c r="O16" s="83"/>
    </row>
    <row r="17" spans="2:16" ht="27.75" customHeight="1" outlineLevel="1" x14ac:dyDescent="0.25">
      <c r="B17" s="63"/>
      <c r="C17" s="130" t="s">
        <v>17</v>
      </c>
      <c r="D17" s="130"/>
      <c r="E17" s="81">
        <f t="shared" si="1"/>
        <v>-3.0662720000000004E-2</v>
      </c>
      <c r="F17" s="81">
        <f>HLOOKUP(F7,'seriile dinamice active'!F4:FA318,207,FALSE)</f>
        <v>-3.0662720000000004E-2</v>
      </c>
      <c r="G17" s="81">
        <f t="shared" si="4"/>
        <v>0</v>
      </c>
      <c r="H17" s="81">
        <f>HLOOKUP(F7,'seriile dinamice active'!F4:FA318,209,FALSE)</f>
        <v>0</v>
      </c>
      <c r="I17" s="81">
        <f>HLOOKUP(F7,'seriile dinamice active'!F4:FA318,210,FALSE)</f>
        <v>0</v>
      </c>
      <c r="J17" s="79"/>
      <c r="K17" s="81">
        <f>HLOOKUP(F7,'seriile dinamice active'!F4:FA318,212,FALSE)</f>
        <v>0</v>
      </c>
      <c r="L17" s="81">
        <f>HLOOKUP(F7,'seriile dinamice active'!F4:FA318,213,FALSE)</f>
        <v>0</v>
      </c>
      <c r="M17" s="81">
        <f>HLOOKUP(F7,'seriile dinamice active'!F4:FA318,214,FALSE)</f>
        <v>0</v>
      </c>
      <c r="N17" s="86">
        <f t="shared" si="2"/>
        <v>-3.0662720000000004E-2</v>
      </c>
      <c r="O17" s="83"/>
    </row>
    <row r="18" spans="2:16" ht="27.75" customHeight="1" x14ac:dyDescent="0.25">
      <c r="B18" s="63"/>
      <c r="C18" s="128" t="s">
        <v>18</v>
      </c>
      <c r="D18" s="128"/>
      <c r="E18" s="80">
        <f t="shared" si="1"/>
        <v>64.192516715045087</v>
      </c>
      <c r="F18" s="80">
        <f>HLOOKUP(F7,'seriile dinamice active'!F4:FA318,252,FALSE)</f>
        <v>-55.366179389690501</v>
      </c>
      <c r="G18" s="80">
        <f t="shared" si="4"/>
        <v>119.55869610473559</v>
      </c>
      <c r="H18" s="81">
        <f>HLOOKUP(F7,'seriile dinamice active'!F4:FA318,254,FALSE)</f>
        <v>119.55869610473559</v>
      </c>
      <c r="I18" s="81">
        <f>HLOOKUP(F7,'seriile dinamice active'!F4:FA318,255,FALSE)</f>
        <v>0</v>
      </c>
      <c r="J18" s="81">
        <f>HLOOKUP(F7,'seriile dinamice active'!F4:FA318,256,FALSE)</f>
        <v>0</v>
      </c>
      <c r="K18" s="79"/>
      <c r="L18" s="80">
        <f>HLOOKUP(F7,'seriile dinamice active'!F4:FA318,258,FALSE)</f>
        <v>0</v>
      </c>
      <c r="M18" s="80">
        <f>HLOOKUP(F7,'seriile dinamice active'!F4:FA318,259,FALSE)</f>
        <v>0</v>
      </c>
      <c r="N18" s="82">
        <f t="shared" si="2"/>
        <v>64.192516715045087</v>
      </c>
      <c r="O18" s="83"/>
    </row>
    <row r="19" spans="2:16" ht="27.75" customHeight="1" x14ac:dyDescent="0.25">
      <c r="B19" s="63"/>
      <c r="C19" s="128" t="s">
        <v>30</v>
      </c>
      <c r="D19" s="128"/>
      <c r="E19" s="80">
        <f t="shared" si="1"/>
        <v>14.070196516031144</v>
      </c>
      <c r="F19" s="80">
        <f>HLOOKUP(F7,'seriile dinamice active'!F4:FA318,297,FALSE)</f>
        <v>0</v>
      </c>
      <c r="G19" s="80">
        <f t="shared" si="4"/>
        <v>14.070196516031144</v>
      </c>
      <c r="H19" s="81">
        <f>HLOOKUP(F7,'seriile dinamice active'!F4:FA318,299,FALSE)</f>
        <v>0</v>
      </c>
      <c r="I19" s="81">
        <f>HLOOKUP(F7,'seriile dinamice active'!F4:FA318,300,FALSE)</f>
        <v>14.070196516031144</v>
      </c>
      <c r="J19" s="81">
        <f>HLOOKUP(F7,'seriile dinamice active'!F4:FA318,301,FALSE)</f>
        <v>0</v>
      </c>
      <c r="K19" s="80">
        <f>HLOOKUP(F7,'seriile dinamice active'!F4:FA318,302,FALSE)</f>
        <v>0</v>
      </c>
      <c r="L19" s="79"/>
      <c r="M19" s="80">
        <f>HLOOKUP(F7,'seriile dinamice active'!F4:FA318,304,FALSE)</f>
        <v>0</v>
      </c>
      <c r="N19" s="82">
        <f t="shared" si="2"/>
        <v>14.070196516031144</v>
      </c>
      <c r="O19" s="83"/>
    </row>
    <row r="20" spans="2:16" ht="27.75" customHeight="1" x14ac:dyDescent="0.25">
      <c r="B20" s="63"/>
      <c r="C20" s="128" t="s">
        <v>19</v>
      </c>
      <c r="D20" s="128"/>
      <c r="E20" s="80">
        <f t="shared" si="1"/>
        <v>1686.6217024205525</v>
      </c>
      <c r="F20" s="80">
        <f>HLOOKUP(F7,'seriile dinamice pasive '!F4:FA230,23,FALSE)</f>
        <v>-141.86724791867118</v>
      </c>
      <c r="G20" s="80">
        <f t="shared" si="4"/>
        <v>385.04487832283974</v>
      </c>
      <c r="H20" s="81">
        <f>HLOOKUP(F7,'seriile dinamice pasive '!F4:FA230,113,FALSE)</f>
        <v>-300.3515635397772</v>
      </c>
      <c r="I20" s="81">
        <f>HLOOKUP(F7,'seriile dinamice pasive '!F4:FA230,147,FALSE)</f>
        <v>685.39644186261694</v>
      </c>
      <c r="J20" s="81">
        <f>HLOOKUP(F7,'seriile dinamice pasive '!F4:FA230,181,FALSE)</f>
        <v>0</v>
      </c>
      <c r="K20" s="80">
        <f>HLOOKUP(F7,'seriile dinamice pasive '!F4:FA230,215,FALSE)</f>
        <v>1405.5252074268744</v>
      </c>
      <c r="L20" s="80">
        <f>HLOOKUP(F7,'seriile dinamice pasive '!F4:FA230,227,FALSE)</f>
        <v>37.91886458950966</v>
      </c>
      <c r="M20" s="79"/>
      <c r="N20" s="82">
        <f t="shared" si="2"/>
        <v>1686.6217024205525</v>
      </c>
      <c r="O20" s="83"/>
    </row>
    <row r="21" spans="2:16" ht="27.75" customHeight="1" x14ac:dyDescent="0.25">
      <c r="B21" s="63"/>
      <c r="C21" s="129" t="s">
        <v>8</v>
      </c>
      <c r="D21" s="129"/>
      <c r="E21" s="82">
        <f t="shared" si="1"/>
        <v>8095.7151620211553</v>
      </c>
      <c r="F21" s="82">
        <f t="shared" ref="F21:M21" si="5">+F20+F12</f>
        <v>1360.6314544255256</v>
      </c>
      <c r="G21" s="82">
        <f t="shared" si="5"/>
        <v>1309.4670251426235</v>
      </c>
      <c r="H21" s="86">
        <f t="shared" si="5"/>
        <v>631.95840359495833</v>
      </c>
      <c r="I21" s="86">
        <f t="shared" si="5"/>
        <v>677.50862154766503</v>
      </c>
      <c r="J21" s="86">
        <f t="shared" si="5"/>
        <v>0</v>
      </c>
      <c r="K21" s="82">
        <f t="shared" si="5"/>
        <v>1358.0812161868744</v>
      </c>
      <c r="L21" s="82">
        <f t="shared" si="5"/>
        <v>4067.5354662661316</v>
      </c>
      <c r="M21" s="82">
        <f t="shared" si="5"/>
        <v>1728.3901724091545</v>
      </c>
      <c r="N21" s="87"/>
      <c r="O21" s="88"/>
    </row>
    <row r="22" spans="2:16" x14ac:dyDescent="0.25">
      <c r="B22" s="63"/>
      <c r="O22" s="66"/>
    </row>
    <row r="23" spans="2:16" x14ac:dyDescent="0.25">
      <c r="B23" s="63"/>
      <c r="O23" s="66"/>
    </row>
    <row r="24" spans="2:16" x14ac:dyDescent="0.25">
      <c r="B24" s="63"/>
      <c r="F24" s="89"/>
      <c r="L24" s="89"/>
      <c r="O24" s="66"/>
    </row>
    <row r="25" spans="2:16" ht="20.25" x14ac:dyDescent="0.3">
      <c r="B25" s="63"/>
      <c r="C25" s="72" t="s">
        <v>10</v>
      </c>
      <c r="D25" s="67"/>
      <c r="E25" s="67"/>
      <c r="F25" s="67"/>
      <c r="G25" s="67"/>
      <c r="H25" s="67"/>
      <c r="I25" s="67"/>
      <c r="J25" s="67"/>
      <c r="K25" s="67"/>
      <c r="L25" s="67"/>
      <c r="M25" s="67"/>
      <c r="N25" s="67"/>
      <c r="O25" s="68"/>
    </row>
    <row r="26" spans="2:16" ht="9.75" customHeight="1" x14ac:dyDescent="0.3">
      <c r="B26" s="63"/>
      <c r="C26" s="67"/>
      <c r="D26" s="67"/>
      <c r="E26" s="67"/>
      <c r="F26" s="67"/>
      <c r="G26" s="67"/>
      <c r="H26" s="67"/>
      <c r="I26" s="67"/>
      <c r="J26" s="67"/>
      <c r="K26" s="67"/>
      <c r="L26" s="67"/>
      <c r="M26" s="67"/>
      <c r="N26" s="67"/>
      <c r="O26" s="68"/>
      <c r="P26" s="73"/>
    </row>
    <row r="27" spans="2:16" ht="18" customHeight="1" x14ac:dyDescent="0.3">
      <c r="B27" s="63"/>
      <c r="C27" s="74"/>
      <c r="D27" s="75" t="s">
        <v>7</v>
      </c>
      <c r="E27" s="128" t="s">
        <v>13</v>
      </c>
      <c r="F27" s="128" t="s">
        <v>14</v>
      </c>
      <c r="G27" s="128" t="s">
        <v>15</v>
      </c>
      <c r="H27" s="131" t="s">
        <v>26</v>
      </c>
      <c r="I27" s="130" t="s">
        <v>16</v>
      </c>
      <c r="J27" s="130" t="s">
        <v>17</v>
      </c>
      <c r="K27" s="128" t="s">
        <v>18</v>
      </c>
      <c r="L27" s="128" t="s">
        <v>30</v>
      </c>
      <c r="M27" s="128" t="s">
        <v>19</v>
      </c>
      <c r="N27" s="129" t="s">
        <v>8</v>
      </c>
      <c r="O27" s="76"/>
    </row>
    <row r="28" spans="2:16" ht="18" customHeight="1" x14ac:dyDescent="0.3">
      <c r="B28" s="63"/>
      <c r="C28" s="77" t="s">
        <v>9</v>
      </c>
      <c r="D28" s="78"/>
      <c r="E28" s="128"/>
      <c r="F28" s="128"/>
      <c r="G28" s="128"/>
      <c r="H28" s="132"/>
      <c r="I28" s="130"/>
      <c r="J28" s="130"/>
      <c r="K28" s="128"/>
      <c r="L28" s="128"/>
      <c r="M28" s="128"/>
      <c r="N28" s="129"/>
      <c r="O28" s="76"/>
    </row>
    <row r="29" spans="2:16" ht="27.75" customHeight="1" x14ac:dyDescent="0.25">
      <c r="B29" s="63"/>
      <c r="C29" s="128" t="s">
        <v>13</v>
      </c>
      <c r="D29" s="128"/>
      <c r="E29" s="79"/>
      <c r="F29" s="80">
        <f>F31+F35+F36</f>
        <v>0</v>
      </c>
      <c r="G29" s="80">
        <f>G30+G35+G36+G31</f>
        <v>7122.7617344714636</v>
      </c>
      <c r="H29" s="81">
        <f>H30+H35+H36+H31</f>
        <v>7122.7617344714636</v>
      </c>
      <c r="I29" s="81">
        <f>I30+I35+I36+I31</f>
        <v>0</v>
      </c>
      <c r="J29" s="81">
        <f>J30+J35+J36+J31</f>
        <v>0</v>
      </c>
      <c r="K29" s="80">
        <f>K31+K30+K36</f>
        <v>0</v>
      </c>
      <c r="L29" s="80">
        <f>L31+L35+L30</f>
        <v>0</v>
      </c>
      <c r="M29" s="80">
        <f>M30+M31+M35+M36</f>
        <v>-10060.428921402698</v>
      </c>
      <c r="N29" s="82">
        <f>N31+N35+N36+N30</f>
        <v>-2937.6671869312345</v>
      </c>
      <c r="O29" s="83"/>
      <c r="P29" s="84"/>
    </row>
    <row r="30" spans="2:16" ht="27.75" customHeight="1" x14ac:dyDescent="0.25">
      <c r="B30" s="63"/>
      <c r="C30" s="128" t="s">
        <v>14</v>
      </c>
      <c r="D30" s="128"/>
      <c r="E30" s="80">
        <f t="shared" ref="E30:E38" si="6">F30+G30+K30+L30</f>
        <v>2584.9547354451861</v>
      </c>
      <c r="F30" s="79"/>
      <c r="G30" s="80">
        <f>H30+J30+I30</f>
        <v>2584.9547354451861</v>
      </c>
      <c r="H30" s="81">
        <f>HLOOKUP(F7,'seriile dinamice active'!F4:FA318,7,FALSE)</f>
        <v>2584.9547354451861</v>
      </c>
      <c r="I30" s="81">
        <f>HLOOKUP(F7,'seriile dinamice active'!F4:FA318,8,FALSE)</f>
        <v>0</v>
      </c>
      <c r="J30" s="81">
        <f>HLOOKUP(F7,'seriile dinamice active'!F4:FA318,9,FALSE)</f>
        <v>0</v>
      </c>
      <c r="K30" s="80">
        <f>HLOOKUP(F7,'seriile dinamice active'!F4:FA318,10,FALSE)</f>
        <v>0</v>
      </c>
      <c r="L30" s="80">
        <f>HLOOKUP(F7,'seriile dinamice active'!F4:FA318,11,FALSE)</f>
        <v>0</v>
      </c>
      <c r="M30" s="80">
        <f>HLOOKUP(F7,'seriile dinamice active'!F4:FA318,12,FALSE)</f>
        <v>0.61057845880298101</v>
      </c>
      <c r="N30" s="82">
        <f t="shared" ref="N30:N37" si="7">E30+M30</f>
        <v>2585.5653139039891</v>
      </c>
      <c r="O30" s="83"/>
      <c r="P30" s="85"/>
    </row>
    <row r="31" spans="2:16" ht="27.75" customHeight="1" x14ac:dyDescent="0.25">
      <c r="B31" s="63"/>
      <c r="C31" s="128" t="s">
        <v>15</v>
      </c>
      <c r="D31" s="128"/>
      <c r="E31" s="80">
        <f t="shared" si="6"/>
        <v>1635.53480510245</v>
      </c>
      <c r="F31" s="80">
        <f>+F32+F33+F34</f>
        <v>0</v>
      </c>
      <c r="G31" s="80">
        <f>SUM(G32:G34)</f>
        <v>1635.53480510245</v>
      </c>
      <c r="H31" s="81">
        <f t="shared" ref="H31:M31" si="8">+H32+H34+H33</f>
        <v>1635.53480510245</v>
      </c>
      <c r="I31" s="81">
        <f t="shared" si="8"/>
        <v>0</v>
      </c>
      <c r="J31" s="81">
        <f t="shared" si="8"/>
        <v>0</v>
      </c>
      <c r="K31" s="80">
        <f t="shared" si="8"/>
        <v>0</v>
      </c>
      <c r="L31" s="80">
        <f t="shared" si="8"/>
        <v>0</v>
      </c>
      <c r="M31" s="80">
        <f t="shared" si="8"/>
        <v>3592.4063734721053</v>
      </c>
      <c r="N31" s="82">
        <f t="shared" si="7"/>
        <v>5227.9411785745551</v>
      </c>
      <c r="O31" s="83"/>
      <c r="P31" s="84"/>
    </row>
    <row r="32" spans="2:16" ht="27.75" customHeight="1" outlineLevel="1" x14ac:dyDescent="0.25">
      <c r="B32" s="63"/>
      <c r="C32" s="130" t="s">
        <v>26</v>
      </c>
      <c r="D32" s="130"/>
      <c r="E32" s="81">
        <f t="shared" si="6"/>
        <v>1320.8849809994704</v>
      </c>
      <c r="F32" s="81">
        <f>HLOOKUP(F7,'seriile dinamice active'!F4:FA318,95,FALSE)</f>
        <v>0</v>
      </c>
      <c r="G32" s="81">
        <f t="shared" ref="G32:G37" si="9">H32+J32+I32</f>
        <v>1320.8849809994704</v>
      </c>
      <c r="H32" s="81">
        <f>HLOOKUP(F7,'seriile dinamice active'!F4:FA318,97,FALSE)</f>
        <v>1320.8849809994704</v>
      </c>
      <c r="I32" s="81">
        <f>HLOOKUP(F7,'seriile dinamice active'!F4:FA318,98,FALSE)</f>
        <v>0</v>
      </c>
      <c r="J32" s="81">
        <f>HLOOKUP(F7,'seriile dinamice active'!F4:FA318,99,FALSE)</f>
        <v>0</v>
      </c>
      <c r="K32" s="81">
        <f>HLOOKUP(F7,'seriile dinamice active'!F4:FA318,100,FALSE)</f>
        <v>0</v>
      </c>
      <c r="L32" s="81">
        <f>HLOOKUP(F7,'seriile dinamice active'!F4:FA318,101,FALSE)</f>
        <v>0</v>
      </c>
      <c r="M32" s="81">
        <f>HLOOKUP(F7,'seriile dinamice active'!F4:FA318,102,FALSE)</f>
        <v>3592.6713891761624</v>
      </c>
      <c r="N32" s="86">
        <f t="shared" si="7"/>
        <v>4913.5563701756328</v>
      </c>
      <c r="O32" s="83"/>
    </row>
    <row r="33" spans="2:16" ht="27.75" customHeight="1" outlineLevel="1" x14ac:dyDescent="0.25">
      <c r="B33" s="63"/>
      <c r="C33" s="130" t="s">
        <v>16</v>
      </c>
      <c r="D33" s="130"/>
      <c r="E33" s="81">
        <f t="shared" si="6"/>
        <v>321.9601970905689</v>
      </c>
      <c r="F33" s="81">
        <f>HLOOKUP(F7,'seriile dinamice active'!F4:FA318,140,FALSE)</f>
        <v>0</v>
      </c>
      <c r="G33" s="81">
        <f t="shared" si="9"/>
        <v>321.9601970905689</v>
      </c>
      <c r="H33" s="81">
        <f>HLOOKUP(F7,'seriile dinamice active'!F4:FA318,142,FALSE)</f>
        <v>321.9601970905689</v>
      </c>
      <c r="I33" s="79"/>
      <c r="J33" s="81">
        <f>HLOOKUP(F7,'seriile dinamice active'!F4:FA318,144,FALSE)</f>
        <v>0</v>
      </c>
      <c r="K33" s="81">
        <f>HLOOKUP(F7,'seriile dinamice active'!F4:FA318,145,FALSE)</f>
        <v>0</v>
      </c>
      <c r="L33" s="81">
        <f>HLOOKUP(F7,'seriile dinamice active'!F4:FA318,146,FALSE)</f>
        <v>0</v>
      </c>
      <c r="M33" s="81">
        <f>HLOOKUP(F7,'seriile dinamice active'!F4:FA318,147,FALSE)</f>
        <v>-0.55026022754470538</v>
      </c>
      <c r="N33" s="86">
        <f t="shared" si="7"/>
        <v>321.4099368630242</v>
      </c>
      <c r="O33" s="83"/>
    </row>
    <row r="34" spans="2:16" ht="27.75" customHeight="1" outlineLevel="1" x14ac:dyDescent="0.25">
      <c r="B34" s="63"/>
      <c r="C34" s="130" t="s">
        <v>17</v>
      </c>
      <c r="D34" s="130"/>
      <c r="E34" s="81">
        <f t="shared" si="6"/>
        <v>-7.3103729875892824</v>
      </c>
      <c r="F34" s="81">
        <f>HLOOKUP(F7,'seriile dinamice active'!F4:FA318,185,FALSE)</f>
        <v>0</v>
      </c>
      <c r="G34" s="81">
        <f t="shared" si="9"/>
        <v>-7.3103729875892824</v>
      </c>
      <c r="H34" s="81">
        <f>HLOOKUP(F7,'seriile dinamice active'!F4:FA318,187,FALSE)</f>
        <v>-7.3103729875892824</v>
      </c>
      <c r="I34" s="81">
        <f>HLOOKUP(F7,'seriile dinamice active'!F4:FA318,188,FALSE)</f>
        <v>0</v>
      </c>
      <c r="J34" s="79"/>
      <c r="K34" s="81">
        <f>HLOOKUP(F7,'seriile dinamice active'!F4:FA318,190,FALSE)</f>
        <v>0</v>
      </c>
      <c r="L34" s="81">
        <f>HLOOKUP(F7,'seriile dinamice active'!F4:FA318,191,FALSE)</f>
        <v>0</v>
      </c>
      <c r="M34" s="81">
        <f>HLOOKUP(F7,'seriile dinamice active'!F4:FA318,192,FALSE)</f>
        <v>0.28524452348736612</v>
      </c>
      <c r="N34" s="86">
        <f t="shared" si="7"/>
        <v>-7.0251284641019165</v>
      </c>
      <c r="O34" s="83"/>
    </row>
    <row r="35" spans="2:16" ht="27.75" customHeight="1" x14ac:dyDescent="0.25">
      <c r="B35" s="63"/>
      <c r="C35" s="128" t="s">
        <v>18</v>
      </c>
      <c r="D35" s="128"/>
      <c r="E35" s="80">
        <f t="shared" si="6"/>
        <v>579.63691253332843</v>
      </c>
      <c r="F35" s="80">
        <f>HLOOKUP(F7,'seriile dinamice active'!F4:FA318,230,FALSE)</f>
        <v>0</v>
      </c>
      <c r="G35" s="80">
        <f t="shared" si="9"/>
        <v>579.63691253332843</v>
      </c>
      <c r="H35" s="81">
        <f>HLOOKUP(F7,'seriile dinamice active'!F4:FA318,232,FALSE)</f>
        <v>579.63691253332843</v>
      </c>
      <c r="I35" s="81">
        <f>HLOOKUP(F7,'seriile dinamice active'!F4:FA318,233,FALSE)</f>
        <v>0</v>
      </c>
      <c r="J35" s="81">
        <f>HLOOKUP(F7,'seriile dinamice active'!F4:FA318,234,FALSE)</f>
        <v>0</v>
      </c>
      <c r="K35" s="79"/>
      <c r="L35" s="80">
        <f>HLOOKUP(F7,'seriile dinamice active'!F4:FA318,236,FALSE)</f>
        <v>0</v>
      </c>
      <c r="M35" s="80">
        <f>HLOOKUP(F7,'seriile dinamice active'!F4:FA318,237,FALSE)</f>
        <v>0</v>
      </c>
      <c r="N35" s="82">
        <f t="shared" si="7"/>
        <v>579.63691253332843</v>
      </c>
      <c r="O35" s="83"/>
    </row>
    <row r="36" spans="2:16" ht="27.75" customHeight="1" x14ac:dyDescent="0.25">
      <c r="B36" s="63"/>
      <c r="C36" s="128" t="s">
        <v>30</v>
      </c>
      <c r="D36" s="128"/>
      <c r="E36" s="80">
        <f t="shared" si="6"/>
        <v>2322.6352813904991</v>
      </c>
      <c r="F36" s="80">
        <f>HLOOKUP(F7,'seriile dinamice active'!F4:FA318,275,FALSE)</f>
        <v>0</v>
      </c>
      <c r="G36" s="80">
        <f t="shared" si="9"/>
        <v>2322.6352813904991</v>
      </c>
      <c r="H36" s="81">
        <f>HLOOKUP(F7,'seriile dinamice active'!F4:FA318,277,FALSE)</f>
        <v>2322.6352813904991</v>
      </c>
      <c r="I36" s="81">
        <f>HLOOKUP(F7,'seriile dinamice active'!F4:FA318,278,FALSE)</f>
        <v>0</v>
      </c>
      <c r="J36" s="81">
        <f>HLOOKUP(F7,'seriile dinamice active'!F4:FA318,279,FALSE)</f>
        <v>0</v>
      </c>
      <c r="K36" s="80">
        <f>HLOOKUP(F7,'seriile dinamice active'!F4:FA318,280,FALSE)</f>
        <v>0</v>
      </c>
      <c r="L36" s="79"/>
      <c r="M36" s="80">
        <f>HLOOKUP(F7,'seriile dinamice active'!F4:FA318,282,FALSE)</f>
        <v>-13653.445873333607</v>
      </c>
      <c r="N36" s="82">
        <f t="shared" si="7"/>
        <v>-11330.810591943107</v>
      </c>
      <c r="O36" s="83"/>
    </row>
    <row r="37" spans="2:16" ht="27.75" customHeight="1" x14ac:dyDescent="0.25">
      <c r="B37" s="63"/>
      <c r="C37" s="128" t="s">
        <v>19</v>
      </c>
      <c r="D37" s="128"/>
      <c r="E37" s="80">
        <f t="shared" si="6"/>
        <v>316.11816871930404</v>
      </c>
      <c r="F37" s="80"/>
      <c r="G37" s="80">
        <f t="shared" si="9"/>
        <v>316.11816871930404</v>
      </c>
      <c r="H37" s="81">
        <f>HLOOKUP(F7,'seriile dinamice pasive '!F4:FA230,91,FALSE)</f>
        <v>316.11816871930404</v>
      </c>
      <c r="I37" s="81"/>
      <c r="J37" s="81"/>
      <c r="K37" s="80"/>
      <c r="L37" s="80"/>
      <c r="M37" s="79"/>
      <c r="N37" s="82">
        <f t="shared" si="7"/>
        <v>316.11816871930404</v>
      </c>
      <c r="O37" s="83"/>
    </row>
    <row r="38" spans="2:16" ht="27.75" customHeight="1" x14ac:dyDescent="0.25">
      <c r="B38" s="63"/>
      <c r="C38" s="129" t="s">
        <v>8</v>
      </c>
      <c r="D38" s="129"/>
      <c r="E38" s="82">
        <f t="shared" si="6"/>
        <v>7438.8799031907674</v>
      </c>
      <c r="F38" s="82">
        <f t="shared" ref="F38:M38" si="10">+F37+F29</f>
        <v>0</v>
      </c>
      <c r="G38" s="82">
        <f t="shared" si="10"/>
        <v>7438.8799031907674</v>
      </c>
      <c r="H38" s="86">
        <f t="shared" si="10"/>
        <v>7438.8799031907674</v>
      </c>
      <c r="I38" s="86">
        <f t="shared" si="10"/>
        <v>0</v>
      </c>
      <c r="J38" s="86">
        <f t="shared" si="10"/>
        <v>0</v>
      </c>
      <c r="K38" s="82">
        <f t="shared" si="10"/>
        <v>0</v>
      </c>
      <c r="L38" s="82">
        <f t="shared" si="10"/>
        <v>0</v>
      </c>
      <c r="M38" s="82">
        <f t="shared" si="10"/>
        <v>-10060.428921402698</v>
      </c>
      <c r="N38" s="87"/>
      <c r="O38" s="88"/>
    </row>
    <row r="39" spans="2:16" x14ac:dyDescent="0.25">
      <c r="B39" s="63"/>
      <c r="O39" s="66"/>
    </row>
    <row r="40" spans="2:16" x14ac:dyDescent="0.25">
      <c r="B40" s="63"/>
      <c r="O40" s="66"/>
    </row>
    <row r="41" spans="2:16" x14ac:dyDescent="0.25">
      <c r="B41" s="63"/>
      <c r="O41" s="66"/>
    </row>
    <row r="42" spans="2:16" ht="20.25" x14ac:dyDescent="0.3">
      <c r="B42" s="63"/>
      <c r="C42" s="72" t="s">
        <v>11</v>
      </c>
      <c r="D42" s="67"/>
      <c r="E42" s="67"/>
      <c r="F42" s="67"/>
      <c r="G42" s="67"/>
      <c r="H42" s="67"/>
      <c r="I42" s="67"/>
      <c r="J42" s="67"/>
      <c r="K42" s="67"/>
      <c r="L42" s="67"/>
      <c r="M42" s="67"/>
      <c r="N42" s="67"/>
      <c r="O42" s="68"/>
    </row>
    <row r="43" spans="2:16" ht="9.75" customHeight="1" x14ac:dyDescent="0.3">
      <c r="B43" s="63"/>
      <c r="C43" s="67"/>
      <c r="D43" s="67"/>
      <c r="E43" s="67"/>
      <c r="F43" s="67"/>
      <c r="G43" s="67"/>
      <c r="H43" s="67"/>
      <c r="I43" s="67"/>
      <c r="J43" s="67"/>
      <c r="K43" s="67"/>
      <c r="L43" s="67"/>
      <c r="M43" s="67"/>
      <c r="N43" s="67"/>
      <c r="O43" s="68"/>
      <c r="P43" s="73"/>
    </row>
    <row r="44" spans="2:16" ht="18" customHeight="1" x14ac:dyDescent="0.3">
      <c r="B44" s="63"/>
      <c r="C44" s="74"/>
      <c r="D44" s="75" t="s">
        <v>7</v>
      </c>
      <c r="E44" s="128" t="s">
        <v>13</v>
      </c>
      <c r="F44" s="128" t="s">
        <v>14</v>
      </c>
      <c r="G44" s="128" t="s">
        <v>15</v>
      </c>
      <c r="H44" s="130" t="s">
        <v>26</v>
      </c>
      <c r="I44" s="130" t="s">
        <v>16</v>
      </c>
      <c r="J44" s="130" t="s">
        <v>17</v>
      </c>
      <c r="K44" s="128" t="s">
        <v>18</v>
      </c>
      <c r="L44" s="128" t="s">
        <v>30</v>
      </c>
      <c r="M44" s="128" t="s">
        <v>19</v>
      </c>
      <c r="N44" s="129" t="s">
        <v>8</v>
      </c>
      <c r="O44" s="76"/>
    </row>
    <row r="45" spans="2:16" ht="18" customHeight="1" x14ac:dyDescent="0.3">
      <c r="B45" s="63"/>
      <c r="C45" s="77" t="s">
        <v>9</v>
      </c>
      <c r="D45" s="78"/>
      <c r="E45" s="128"/>
      <c r="F45" s="128"/>
      <c r="G45" s="128"/>
      <c r="H45" s="130"/>
      <c r="I45" s="130"/>
      <c r="J45" s="130"/>
      <c r="K45" s="128"/>
      <c r="L45" s="128"/>
      <c r="M45" s="128"/>
      <c r="N45" s="129"/>
      <c r="O45" s="76"/>
    </row>
    <row r="46" spans="2:16" ht="27.75" customHeight="1" x14ac:dyDescent="0.25">
      <c r="B46" s="63"/>
      <c r="C46" s="128" t="s">
        <v>13</v>
      </c>
      <c r="D46" s="128"/>
      <c r="E46" s="79"/>
      <c r="F46" s="80">
        <f>F48+F52+F53</f>
        <v>0</v>
      </c>
      <c r="G46" s="80">
        <f>G47+G52+G53+G48</f>
        <v>-924.0216521399999</v>
      </c>
      <c r="H46" s="81">
        <f>H47+H52+H53+H48</f>
        <v>-924.0216521399999</v>
      </c>
      <c r="I46" s="81">
        <f>I47+I52+I53+I48</f>
        <v>0</v>
      </c>
      <c r="J46" s="81">
        <f>J47+J52+J53+J48</f>
        <v>0</v>
      </c>
      <c r="K46" s="80">
        <f>K48+K47+K53</f>
        <v>1033.0059434920915</v>
      </c>
      <c r="L46" s="80">
        <f>L48+L52+L47</f>
        <v>0</v>
      </c>
      <c r="M46" s="80">
        <f>M47+M48+M52+M53</f>
        <v>-159.57191616052725</v>
      </c>
      <c r="N46" s="82">
        <f>N48+N52+N53+N47</f>
        <v>-50.587624808435521</v>
      </c>
      <c r="O46" s="83"/>
      <c r="P46" s="84"/>
    </row>
    <row r="47" spans="2:16" ht="27.75" customHeight="1" x14ac:dyDescent="0.25">
      <c r="B47" s="63"/>
      <c r="C47" s="128" t="s">
        <v>14</v>
      </c>
      <c r="D47" s="128"/>
      <c r="E47" s="80">
        <f t="shared" ref="E47:E55" si="11">F47+G47+K47+L47</f>
        <v>2297.4698546785585</v>
      </c>
      <c r="F47" s="79"/>
      <c r="G47" s="80">
        <f>H47+J47+I47</f>
        <v>0</v>
      </c>
      <c r="H47" s="81">
        <f>HLOOKUP(F7,'seriile dinamice active'!F4:FA318,18,FALSE)</f>
        <v>0</v>
      </c>
      <c r="I47" s="81">
        <f>HLOOKUP(F7,'seriile dinamice active'!F4:FA318,19,FALSE)</f>
        <v>0</v>
      </c>
      <c r="J47" s="81">
        <f>HLOOKUP(F7,'seriile dinamice active'!F4:FA318,20,FALSE)</f>
        <v>0</v>
      </c>
      <c r="K47" s="80">
        <f>HLOOKUP(F7,'seriile dinamice active'!F4:FA318,21,FALSE)</f>
        <v>2297.4698546785585</v>
      </c>
      <c r="L47" s="80">
        <f>HLOOKUP(F7,'seriile dinamice active'!F4:FA318,22,FALSE)</f>
        <v>0</v>
      </c>
      <c r="M47" s="80">
        <f>HLOOKUP(F7,'seriile dinamice active'!F4:FA318,23,FALSE)</f>
        <v>0</v>
      </c>
      <c r="N47" s="82">
        <f t="shared" ref="N47:N54" si="12">E47+M47</f>
        <v>2297.4698546785585</v>
      </c>
      <c r="O47" s="83"/>
      <c r="P47" s="85"/>
    </row>
    <row r="48" spans="2:16" ht="27.75" customHeight="1" x14ac:dyDescent="0.25">
      <c r="B48" s="63"/>
      <c r="C48" s="128" t="s">
        <v>15</v>
      </c>
      <c r="D48" s="128"/>
      <c r="E48" s="80">
        <f t="shared" si="11"/>
        <v>-2546.8014453264668</v>
      </c>
      <c r="F48" s="80">
        <f>F50+F49+F51</f>
        <v>0</v>
      </c>
      <c r="G48" s="80">
        <f>SUM(G49:G51)</f>
        <v>-1282.3375341399999</v>
      </c>
      <c r="H48" s="81">
        <f t="shared" ref="H48:M48" si="13">+H51+H49+H50</f>
        <v>-1282.3375341399999</v>
      </c>
      <c r="I48" s="81">
        <f t="shared" si="13"/>
        <v>0</v>
      </c>
      <c r="J48" s="81">
        <f t="shared" si="13"/>
        <v>0</v>
      </c>
      <c r="K48" s="80">
        <f t="shared" si="13"/>
        <v>-1264.4639111864669</v>
      </c>
      <c r="L48" s="80">
        <f t="shared" si="13"/>
        <v>0</v>
      </c>
      <c r="M48" s="80">
        <f t="shared" si="13"/>
        <v>-159.57191616052725</v>
      </c>
      <c r="N48" s="82">
        <f t="shared" si="12"/>
        <v>-2706.3733614869939</v>
      </c>
      <c r="O48" s="83"/>
      <c r="P48" s="84"/>
    </row>
    <row r="49" spans="2:16" ht="27.75" customHeight="1" outlineLevel="1" x14ac:dyDescent="0.25">
      <c r="B49" s="63"/>
      <c r="C49" s="130" t="s">
        <v>26</v>
      </c>
      <c r="D49" s="130"/>
      <c r="E49" s="81">
        <f t="shared" si="11"/>
        <v>-2751.329372479996</v>
      </c>
      <c r="F49" s="81">
        <f>HLOOKUP(F7,'seriile dinamice active'!F4:FA318,106,FALSE)</f>
        <v>0</v>
      </c>
      <c r="G49" s="81">
        <f t="shared" ref="G49:G54" si="14">H49+J49+I49</f>
        <v>-1282.3375341399999</v>
      </c>
      <c r="H49" s="81">
        <f>HLOOKUP(F7,'seriile dinamice active'!F4:FA318,108,FALSE)</f>
        <v>-1282.3375341399999</v>
      </c>
      <c r="I49" s="81">
        <f>HLOOKUP(F7,'seriile dinamice active'!F4:FA318,109,FALSE)</f>
        <v>0</v>
      </c>
      <c r="J49" s="81">
        <f>HLOOKUP(F7,'seriile dinamice active'!F4:FA318,110,FALSE)</f>
        <v>0</v>
      </c>
      <c r="K49" s="81">
        <f>HLOOKUP(F7,'seriile dinamice active'!F4:FA318,111,FALSE)</f>
        <v>-1468.9918383399963</v>
      </c>
      <c r="L49" s="81">
        <f>HLOOKUP(F7,'seriile dinamice active'!F4:FA318,112,FALSE)</f>
        <v>0</v>
      </c>
      <c r="M49" s="81">
        <f>HLOOKUP(F7,'seriile dinamice active'!F4:FA318,113,FALSE)</f>
        <v>-173.16960289919297</v>
      </c>
      <c r="N49" s="86">
        <f t="shared" si="12"/>
        <v>-2924.4989753791888</v>
      </c>
      <c r="O49" s="83"/>
    </row>
    <row r="50" spans="2:16" ht="27.75" customHeight="1" outlineLevel="1" x14ac:dyDescent="0.25">
      <c r="B50" s="63"/>
      <c r="C50" s="130" t="s">
        <v>16</v>
      </c>
      <c r="D50" s="130"/>
      <c r="E50" s="81">
        <f t="shared" si="11"/>
        <v>14.472860000000001</v>
      </c>
      <c r="F50" s="81">
        <f>HLOOKUP(F7,'seriile dinamice active'!F4:FA318,151,FALSE)</f>
        <v>0</v>
      </c>
      <c r="G50" s="81">
        <f t="shared" si="14"/>
        <v>0</v>
      </c>
      <c r="H50" s="81">
        <f>HLOOKUP(F7,'seriile dinamice active'!F4:FA318,153,FALSE)</f>
        <v>0</v>
      </c>
      <c r="I50" s="79"/>
      <c r="J50" s="81">
        <f>HLOOKUP(F7,'seriile dinamice active'!F4:FA318,155,FALSE)</f>
        <v>0</v>
      </c>
      <c r="K50" s="81">
        <f>HLOOKUP(F7,'seriile dinamice active'!F4:FA318,156,FALSE)</f>
        <v>14.472860000000001</v>
      </c>
      <c r="L50" s="81">
        <f>HLOOKUP(F7,'seriile dinamice active'!F4:FA318,157,FALSE)</f>
        <v>0</v>
      </c>
      <c r="M50" s="81">
        <f>HLOOKUP(F7,'seriile dinamice active'!F4:FA318,158,FALSE)</f>
        <v>1.9461357386657046</v>
      </c>
      <c r="N50" s="86">
        <f t="shared" si="12"/>
        <v>16.418995738665707</v>
      </c>
      <c r="O50" s="83"/>
    </row>
    <row r="51" spans="2:16" ht="27.75" customHeight="1" outlineLevel="1" x14ac:dyDescent="0.25">
      <c r="B51" s="63"/>
      <c r="C51" s="130" t="s">
        <v>17</v>
      </c>
      <c r="D51" s="130"/>
      <c r="E51" s="81">
        <f t="shared" si="11"/>
        <v>190.05506715352931</v>
      </c>
      <c r="F51" s="81">
        <f>HLOOKUP(F7,'seriile dinamice active'!F4:FA318,196,FALSE)</f>
        <v>0</v>
      </c>
      <c r="G51" s="81">
        <f t="shared" si="14"/>
        <v>0</v>
      </c>
      <c r="H51" s="81">
        <f>HLOOKUP(F7,'seriile dinamice active'!F4:FA318,198,FALSE)</f>
        <v>0</v>
      </c>
      <c r="I51" s="81">
        <f>HLOOKUP(F7,'seriile dinamice active'!F4:FA318,199,FALSE)</f>
        <v>0</v>
      </c>
      <c r="J51" s="79"/>
      <c r="K51" s="81">
        <f>HLOOKUP(F7,'seriile dinamice active'!F4:FA318,201,FALSE)</f>
        <v>190.05506715352931</v>
      </c>
      <c r="L51" s="81">
        <f>HLOOKUP(F7,'seriile dinamice active'!F4:FA318,202,FALSE)</f>
        <v>0</v>
      </c>
      <c r="M51" s="81">
        <f>HLOOKUP(F7,'seriile dinamice active'!F4:FA318,203,FALSE)</f>
        <v>11.651551000000005</v>
      </c>
      <c r="N51" s="86">
        <f t="shared" si="12"/>
        <v>201.70661815352932</v>
      </c>
      <c r="O51" s="83"/>
    </row>
    <row r="52" spans="2:16" ht="27.75" customHeight="1" x14ac:dyDescent="0.25">
      <c r="B52" s="63"/>
      <c r="C52" s="128" t="s">
        <v>18</v>
      </c>
      <c r="D52" s="128"/>
      <c r="E52" s="80">
        <f t="shared" si="11"/>
        <v>0</v>
      </c>
      <c r="F52" s="80">
        <f>HLOOKUP(F7,'seriile dinamice active'!F4:FA318,241,FALSE)</f>
        <v>0</v>
      </c>
      <c r="G52" s="80">
        <f t="shared" si="14"/>
        <v>0</v>
      </c>
      <c r="H52" s="81">
        <f>HLOOKUP(F7,'seriile dinamice active'!F4:FA318,243,FALSE)</f>
        <v>0</v>
      </c>
      <c r="I52" s="81">
        <f>HLOOKUP(F7,'seriile dinamice active'!F4:FA318,244,FALSE)</f>
        <v>0</v>
      </c>
      <c r="J52" s="81">
        <f>HLOOKUP(F7,'seriile dinamice active'!F4:FA318,245,FALSE)</f>
        <v>0</v>
      </c>
      <c r="K52" s="79"/>
      <c r="L52" s="80">
        <f>HLOOKUP(F7,'seriile dinamice active'!F4:FA318,247,FALSE)</f>
        <v>0</v>
      </c>
      <c r="M52" s="80">
        <f>HLOOKUP(F7,'seriile dinamice active'!F4:FA318,248,FALSE)</f>
        <v>0</v>
      </c>
      <c r="N52" s="82">
        <f t="shared" si="12"/>
        <v>0</v>
      </c>
      <c r="O52" s="83"/>
    </row>
    <row r="53" spans="2:16" ht="27.75" customHeight="1" x14ac:dyDescent="0.25">
      <c r="B53" s="63"/>
      <c r="C53" s="128" t="s">
        <v>30</v>
      </c>
      <c r="D53" s="128"/>
      <c r="E53" s="80">
        <f t="shared" si="11"/>
        <v>358.31588199999999</v>
      </c>
      <c r="F53" s="80">
        <f>HLOOKUP(F7,'seriile dinamice active'!F4:FA318,286,FALSE)</f>
        <v>0</v>
      </c>
      <c r="G53" s="80">
        <f t="shared" si="14"/>
        <v>358.31588199999999</v>
      </c>
      <c r="H53" s="81">
        <f>HLOOKUP(F7,'seriile dinamice active'!F4:FA318,288,FALSE)</f>
        <v>358.31588199999999</v>
      </c>
      <c r="I53" s="81">
        <f>HLOOKUP(F7,'seriile dinamice active'!F4:FA318,289,FALSE)</f>
        <v>0</v>
      </c>
      <c r="J53" s="81">
        <f>HLOOKUP(F7,'seriile dinamice active'!F4:FA318,290,FALSE)</f>
        <v>0</v>
      </c>
      <c r="K53" s="80">
        <f>HLOOKUP(F7,'seriile dinamice active'!F4:FA318,291,FALSE)</f>
        <v>0</v>
      </c>
      <c r="L53" s="79"/>
      <c r="M53" s="80">
        <f>HLOOKUP(F7,'seriile dinamice active'!F4:FA318,293,FALSE)</f>
        <v>0</v>
      </c>
      <c r="N53" s="82">
        <f t="shared" si="12"/>
        <v>358.31588199999999</v>
      </c>
      <c r="O53" s="83"/>
    </row>
    <row r="54" spans="2:16" ht="27.75" customHeight="1" x14ac:dyDescent="0.25">
      <c r="B54" s="63"/>
      <c r="C54" s="128" t="s">
        <v>19</v>
      </c>
      <c r="D54" s="128"/>
      <c r="E54" s="80">
        <f t="shared" si="11"/>
        <v>39.374281213218822</v>
      </c>
      <c r="F54" s="80">
        <f>HLOOKUP(F7,'seriile dinamice pasive '!F4:FA230,12,FALSE)</f>
        <v>0</v>
      </c>
      <c r="G54" s="80">
        <f t="shared" si="14"/>
        <v>27.951474908871003</v>
      </c>
      <c r="H54" s="81">
        <f>HLOOKUP(F7,'seriile dinamice pasive '!F4:FA230,102,FALSE)</f>
        <v>27.951474908871003</v>
      </c>
      <c r="I54" s="81">
        <f>HLOOKUP(F7,'seriile dinamice pasive '!F4:FA230,136,FALSE)</f>
        <v>0</v>
      </c>
      <c r="J54" s="81">
        <f>HLOOKUP(F7,'seriile dinamice pasive '!F4:FA230,170,FALSE)</f>
        <v>0</v>
      </c>
      <c r="K54" s="80">
        <f>HLOOKUP(F7,'seriile dinamice pasive '!F4:FA230,204,FALSE)</f>
        <v>11.422806304347823</v>
      </c>
      <c r="L54" s="80"/>
      <c r="M54" s="79"/>
      <c r="N54" s="82">
        <f t="shared" si="12"/>
        <v>39.374281213218822</v>
      </c>
      <c r="O54" s="83"/>
    </row>
    <row r="55" spans="2:16" ht="27.75" customHeight="1" x14ac:dyDescent="0.25">
      <c r="B55" s="63"/>
      <c r="C55" s="129" t="s">
        <v>8</v>
      </c>
      <c r="D55" s="129"/>
      <c r="E55" s="82">
        <f t="shared" si="11"/>
        <v>148.35857256531051</v>
      </c>
      <c r="F55" s="82">
        <f t="shared" ref="F55:M55" si="15">+F54+F46</f>
        <v>0</v>
      </c>
      <c r="G55" s="82">
        <f t="shared" si="15"/>
        <v>-896.07017723112892</v>
      </c>
      <c r="H55" s="86">
        <f t="shared" si="15"/>
        <v>-896.07017723112892</v>
      </c>
      <c r="I55" s="86">
        <f t="shared" si="15"/>
        <v>0</v>
      </c>
      <c r="J55" s="86">
        <f t="shared" si="15"/>
        <v>0</v>
      </c>
      <c r="K55" s="82">
        <f t="shared" si="15"/>
        <v>1044.4287497964394</v>
      </c>
      <c r="L55" s="82">
        <f t="shared" si="15"/>
        <v>0</v>
      </c>
      <c r="M55" s="82">
        <f t="shared" si="15"/>
        <v>-159.57191616052725</v>
      </c>
      <c r="N55" s="87"/>
      <c r="O55" s="88"/>
    </row>
    <row r="56" spans="2:16" x14ac:dyDescent="0.25">
      <c r="B56" s="63"/>
      <c r="O56" s="66"/>
    </row>
    <row r="57" spans="2:16" x14ac:dyDescent="0.25">
      <c r="B57" s="63"/>
      <c r="O57" s="66"/>
    </row>
    <row r="58" spans="2:16" x14ac:dyDescent="0.25">
      <c r="B58" s="63"/>
      <c r="O58" s="66"/>
    </row>
    <row r="59" spans="2:16" ht="20.25" x14ac:dyDescent="0.3">
      <c r="B59" s="63"/>
      <c r="C59" s="72" t="s">
        <v>12</v>
      </c>
      <c r="D59" s="67"/>
      <c r="E59" s="67"/>
      <c r="F59" s="67"/>
      <c r="G59" s="67"/>
      <c r="H59" s="67"/>
      <c r="I59" s="67"/>
      <c r="J59" s="67"/>
      <c r="K59" s="67"/>
      <c r="L59" s="67"/>
      <c r="M59" s="67"/>
      <c r="N59" s="67"/>
      <c r="O59" s="68"/>
    </row>
    <row r="60" spans="2:16" ht="9.75" customHeight="1" x14ac:dyDescent="0.3">
      <c r="B60" s="63"/>
      <c r="C60" s="67"/>
      <c r="D60" s="67"/>
      <c r="E60" s="67"/>
      <c r="F60" s="67"/>
      <c r="G60" s="67"/>
      <c r="H60" s="67"/>
      <c r="I60" s="67"/>
      <c r="J60" s="67"/>
      <c r="K60" s="67"/>
      <c r="L60" s="67"/>
      <c r="M60" s="67"/>
      <c r="N60" s="67"/>
      <c r="O60" s="68"/>
      <c r="P60" s="73"/>
    </row>
    <row r="61" spans="2:16" ht="18" customHeight="1" x14ac:dyDescent="0.3">
      <c r="B61" s="63"/>
      <c r="C61" s="74"/>
      <c r="D61" s="75" t="s">
        <v>7</v>
      </c>
      <c r="E61" s="128" t="s">
        <v>13</v>
      </c>
      <c r="F61" s="128" t="s">
        <v>14</v>
      </c>
      <c r="G61" s="128" t="s">
        <v>15</v>
      </c>
      <c r="H61" s="130" t="s">
        <v>26</v>
      </c>
      <c r="I61" s="130" t="s">
        <v>16</v>
      </c>
      <c r="J61" s="130" t="s">
        <v>17</v>
      </c>
      <c r="K61" s="128" t="s">
        <v>18</v>
      </c>
      <c r="L61" s="128" t="s">
        <v>30</v>
      </c>
      <c r="M61" s="128" t="s">
        <v>19</v>
      </c>
      <c r="N61" s="129" t="s">
        <v>8</v>
      </c>
      <c r="O61" s="76"/>
    </row>
    <row r="62" spans="2:16" ht="18" customHeight="1" x14ac:dyDescent="0.3">
      <c r="B62" s="63"/>
      <c r="C62" s="77" t="s">
        <v>9</v>
      </c>
      <c r="D62" s="78"/>
      <c r="E62" s="128"/>
      <c r="F62" s="128"/>
      <c r="G62" s="128"/>
      <c r="H62" s="130"/>
      <c r="I62" s="130"/>
      <c r="J62" s="130"/>
      <c r="K62" s="128"/>
      <c r="L62" s="128"/>
      <c r="M62" s="128"/>
      <c r="N62" s="129"/>
      <c r="O62" s="76"/>
    </row>
    <row r="63" spans="2:16" ht="27.75" customHeight="1" x14ac:dyDescent="0.25">
      <c r="B63" s="63"/>
      <c r="C63" s="128" t="s">
        <v>13</v>
      </c>
      <c r="D63" s="128"/>
      <c r="E63" s="79"/>
      <c r="F63" s="80">
        <f>F65+F69+F70</f>
        <v>-308.34838713182762</v>
      </c>
      <c r="G63" s="80">
        <f>G64+G69+G70+G65</f>
        <v>-145.03740118868069</v>
      </c>
      <c r="H63" s="81">
        <f>H64+H69+H70+H65</f>
        <v>0.23884646325988257</v>
      </c>
      <c r="I63" s="81">
        <f>I64+I69+I70+I65</f>
        <v>-149.99712666789674</v>
      </c>
      <c r="J63" s="81">
        <f>J64+J69+J70+J65</f>
        <v>4.7208790159561715</v>
      </c>
      <c r="K63" s="80">
        <f>K65+K64+K70</f>
        <v>0</v>
      </c>
      <c r="L63" s="80">
        <f>L65+L69+L64</f>
        <v>0</v>
      </c>
      <c r="M63" s="80">
        <f>M64+M65+M69+M70</f>
        <v>182.73351210962272</v>
      </c>
      <c r="N63" s="82">
        <f>N65+N69+N70+N64</f>
        <v>-270.65227621088559</v>
      </c>
      <c r="O63" s="83"/>
      <c r="P63" s="84"/>
    </row>
    <row r="64" spans="2:16" ht="27.75" customHeight="1" x14ac:dyDescent="0.25">
      <c r="B64" s="63"/>
      <c r="C64" s="128" t="s">
        <v>14</v>
      </c>
      <c r="D64" s="128"/>
      <c r="E64" s="80">
        <f t="shared" ref="E64:E72" si="16">F64+G64+K64+L64</f>
        <v>-0.69869476316534929</v>
      </c>
      <c r="F64" s="79"/>
      <c r="G64" s="80">
        <f>H64+J64+I64</f>
        <v>-0.69869476316534929</v>
      </c>
      <c r="H64" s="81">
        <f>HLOOKUP(F7,'seriile dinamice active'!F4:FA318,40,FALSE)</f>
        <v>0.50260576729998263</v>
      </c>
      <c r="I64" s="81">
        <f>HLOOKUP(F7,'seriile dinamice active'!F4:FA318,41,FALSE)</f>
        <v>-1.9809632128921777</v>
      </c>
      <c r="J64" s="81">
        <f>HLOOKUP(F7,'seriile dinamice active'!F4:FA318,42,FALSE)</f>
        <v>0.77966268242684578</v>
      </c>
      <c r="K64" s="80">
        <f>HLOOKUP(F7,'seriile dinamice active'!F4:FA318,43,FALSE)</f>
        <v>0</v>
      </c>
      <c r="L64" s="80">
        <f>HLOOKUP(F7,'seriile dinamice active'!F4:FA318,44,FALSE)</f>
        <v>0</v>
      </c>
      <c r="M64" s="80">
        <f>HLOOKUP(F7,'seriile dinamice active'!F4:FA318,45,FALSE)</f>
        <v>293.56273549563468</v>
      </c>
      <c r="N64" s="82">
        <f t="shared" ref="N64:N71" si="17">E64+M64</f>
        <v>292.86404073246933</v>
      </c>
      <c r="O64" s="83"/>
      <c r="P64" s="85"/>
    </row>
    <row r="65" spans="2:16" ht="27.75" customHeight="1" x14ac:dyDescent="0.25">
      <c r="B65" s="63"/>
      <c r="C65" s="128" t="s">
        <v>15</v>
      </c>
      <c r="D65" s="128"/>
      <c r="E65" s="80">
        <f>F65+G65+K65+L65</f>
        <v>-4.3273958243520312</v>
      </c>
      <c r="F65" s="80">
        <f>+F66+F67+F68</f>
        <v>-4.7663958243520312</v>
      </c>
      <c r="G65" s="80">
        <f>SUM(G66:G68)</f>
        <v>0.43900000000000006</v>
      </c>
      <c r="H65" s="81">
        <f t="shared" ref="H65:M65" si="18">+H66+H68+H67</f>
        <v>0</v>
      </c>
      <c r="I65" s="81">
        <f t="shared" si="18"/>
        <v>1.221912539568784</v>
      </c>
      <c r="J65" s="81">
        <f t="shared" si="18"/>
        <v>-0.78291253956878393</v>
      </c>
      <c r="K65" s="80">
        <f t="shared" si="18"/>
        <v>0</v>
      </c>
      <c r="L65" s="80">
        <f t="shared" si="18"/>
        <v>0</v>
      </c>
      <c r="M65" s="80">
        <f t="shared" si="18"/>
        <v>-110.82922338601195</v>
      </c>
      <c r="N65" s="82">
        <f t="shared" si="17"/>
        <v>-115.15661921036397</v>
      </c>
      <c r="O65" s="83"/>
      <c r="P65" s="84"/>
    </row>
    <row r="66" spans="2:16" ht="27.75" customHeight="1" outlineLevel="1" x14ac:dyDescent="0.25">
      <c r="B66" s="63"/>
      <c r="C66" s="130" t="s">
        <v>26</v>
      </c>
      <c r="D66" s="130"/>
      <c r="E66" s="81">
        <f t="shared" si="16"/>
        <v>0.24793546223459861</v>
      </c>
      <c r="F66" s="81">
        <f>HLOOKUP(F7,'seriile dinamice active'!F4:FA318,128,FALSE)</f>
        <v>-0.19106453776540144</v>
      </c>
      <c r="G66" s="81">
        <f t="shared" ref="G66:G71" si="19">H66+J66+I66</f>
        <v>0.43900000000000006</v>
      </c>
      <c r="H66" s="79">
        <f>HLOOKUP(F7,'seriile dinamice active'!F4:FA318,130,FALSE)</f>
        <v>0</v>
      </c>
      <c r="I66" s="81">
        <f>HLOOKUP(F7,'seriile dinamice active'!F4:FA318,131,FALSE)</f>
        <v>1.221912539568784</v>
      </c>
      <c r="J66" s="81">
        <f>HLOOKUP(F7,'seriile dinamice active'!F4:FA318,132,FALSE)</f>
        <v>-0.78291253956878393</v>
      </c>
      <c r="K66" s="81">
        <f>HLOOKUP(F7,'seriile dinamice active'!F4:FA318,133,FALSE)</f>
        <v>0</v>
      </c>
      <c r="L66" s="81">
        <f>HLOOKUP(F7,'seriile dinamice active'!F4:FA318,134,FALSE)</f>
        <v>0</v>
      </c>
      <c r="M66" s="81">
        <f>HLOOKUP(F7,'seriile dinamice active'!F4:FA318,135,FALSE)</f>
        <v>0.15130564709080332</v>
      </c>
      <c r="N66" s="86">
        <f t="shared" si="17"/>
        <v>0.39924110932540191</v>
      </c>
      <c r="O66" s="83"/>
    </row>
    <row r="67" spans="2:16" ht="27.75" customHeight="1" outlineLevel="1" x14ac:dyDescent="0.25">
      <c r="B67" s="63"/>
      <c r="C67" s="130" t="s">
        <v>16</v>
      </c>
      <c r="D67" s="130"/>
      <c r="E67" s="81">
        <f t="shared" si="16"/>
        <v>-1.0948943500999686</v>
      </c>
      <c r="F67" s="81">
        <f>HLOOKUP(F7,'seriile dinamice active'!F4:FA318,173,FALSE)</f>
        <v>-1.0948943500999686</v>
      </c>
      <c r="G67" s="81">
        <f t="shared" si="19"/>
        <v>0</v>
      </c>
      <c r="H67" s="81">
        <f>HLOOKUP(F7,'seriile dinamice active'!F4:FA318,175,FALSE)</f>
        <v>0</v>
      </c>
      <c r="I67" s="79"/>
      <c r="J67" s="81">
        <f>HLOOKUP(F7,'seriile dinamice active'!F4:FA318,177,FALSE)</f>
        <v>0</v>
      </c>
      <c r="K67" s="81">
        <f>HLOOKUP(F7,'seriile dinamice active'!F4:FA318,178,FALSE)</f>
        <v>0</v>
      </c>
      <c r="L67" s="81">
        <f>HLOOKUP(F7,'seriile dinamice active'!F4:FA318,179,FALSE)</f>
        <v>0</v>
      </c>
      <c r="M67" s="81">
        <f>HLOOKUP(F7,'seriile dinamice active'!F4:FA318,180,FALSE)</f>
        <v>1.0196689724086173E-4</v>
      </c>
      <c r="N67" s="86">
        <f t="shared" si="17"/>
        <v>-1.0947923832027278</v>
      </c>
      <c r="O67" s="83"/>
    </row>
    <row r="68" spans="2:16" ht="27.75" customHeight="1" outlineLevel="1" x14ac:dyDescent="0.25">
      <c r="B68" s="63"/>
      <c r="C68" s="130" t="s">
        <v>17</v>
      </c>
      <c r="D68" s="130"/>
      <c r="E68" s="81">
        <f t="shared" si="16"/>
        <v>-3.4804369364866616</v>
      </c>
      <c r="F68" s="81">
        <f>HLOOKUP(F7,'seriile dinamice active'!F4:FA318,218,FALSE)</f>
        <v>-3.4804369364866616</v>
      </c>
      <c r="G68" s="81">
        <f t="shared" si="19"/>
        <v>0</v>
      </c>
      <c r="H68" s="81">
        <f>HLOOKUP(F7,'seriile dinamice active'!F4:FA318,220,FALSE)</f>
        <v>0</v>
      </c>
      <c r="I68" s="81">
        <f>HLOOKUP(F7,'seriile dinamice active'!F4:FA318,221,FALSE)</f>
        <v>0</v>
      </c>
      <c r="J68" s="79"/>
      <c r="K68" s="81">
        <f>HLOOKUP(F7,'seriile dinamice active'!F4:FA318,223,FALSE)</f>
        <v>0</v>
      </c>
      <c r="L68" s="81">
        <f>HLOOKUP(F7,'seriile dinamice active'!F4:FA318,224,FALSE)</f>
        <v>0</v>
      </c>
      <c r="M68" s="81">
        <f>HLOOKUP(F7,'seriile dinamice active'!F4:FA318,225,FALSE)</f>
        <v>-110.980631</v>
      </c>
      <c r="N68" s="86">
        <f t="shared" si="17"/>
        <v>-114.46106793648667</v>
      </c>
      <c r="O68" s="83"/>
    </row>
    <row r="69" spans="2:16" ht="27.75" customHeight="1" x14ac:dyDescent="0.25">
      <c r="B69" s="63"/>
      <c r="C69" s="128" t="s">
        <v>18</v>
      </c>
      <c r="D69" s="128"/>
      <c r="E69" s="80">
        <f t="shared" si="16"/>
        <v>85.167258619670974</v>
      </c>
      <c r="F69" s="80">
        <f>HLOOKUP(F7,'seriile dinamice active'!F4:FA318,263,FALSE)</f>
        <v>85.167258619670974</v>
      </c>
      <c r="G69" s="80">
        <f t="shared" si="19"/>
        <v>0</v>
      </c>
      <c r="H69" s="81">
        <f>HLOOKUP(F7,'seriile dinamice active'!F4:FA318,265,FALSE)</f>
        <v>0</v>
      </c>
      <c r="I69" s="81">
        <f>HLOOKUP(F7,'seriile dinamice active'!F4:FA318,266,FALSE)</f>
        <v>0</v>
      </c>
      <c r="J69" s="81">
        <f>HLOOKUP(F7,'seriile dinamice active'!F4:FA318,267,FALSE)</f>
        <v>0</v>
      </c>
      <c r="K69" s="79"/>
      <c r="L69" s="80">
        <f>HLOOKUP(F7,'seriile dinamice active'!F4:FA318,269,FALSE)</f>
        <v>0</v>
      </c>
      <c r="M69" s="80">
        <f>HLOOKUP(F7,'seriile dinamice active'!F4:FA318,270,FALSE)</f>
        <v>0</v>
      </c>
      <c r="N69" s="82">
        <f t="shared" si="17"/>
        <v>85.167258619670974</v>
      </c>
      <c r="O69" s="83"/>
    </row>
    <row r="70" spans="2:16" ht="27.75" customHeight="1" x14ac:dyDescent="0.25">
      <c r="B70" s="63"/>
      <c r="C70" s="128" t="s">
        <v>30</v>
      </c>
      <c r="D70" s="128"/>
      <c r="E70" s="80">
        <f t="shared" si="16"/>
        <v>-533.52695635266195</v>
      </c>
      <c r="F70" s="80">
        <f>HLOOKUP(F7,'seriile dinamice active'!F4:FA318,308,FALSE)</f>
        <v>-388.74924992714659</v>
      </c>
      <c r="G70" s="80">
        <f t="shared" si="19"/>
        <v>-144.77770642551533</v>
      </c>
      <c r="H70" s="81">
        <f>HLOOKUP(F7,'seriile dinamice active'!F4:FA318,310,FALSE)</f>
        <v>-0.26375930404010006</v>
      </c>
      <c r="I70" s="81">
        <f>HLOOKUP(F7,'seriile dinamice active'!F4:FA318,311,FALSE)</f>
        <v>-149.23807599457334</v>
      </c>
      <c r="J70" s="81">
        <f>HLOOKUP(F7,'seriile dinamice active'!F4:FA318,312,FALSE)</f>
        <v>4.7241288730981097</v>
      </c>
      <c r="K70" s="80">
        <f>HLOOKUP(F7,'seriile dinamice active'!F4:FA318,313,FALSE)</f>
        <v>0</v>
      </c>
      <c r="L70" s="79"/>
      <c r="M70" s="80">
        <f>HLOOKUP(F7,'seriile dinamice active'!F4:FA318,315,FALSE)</f>
        <v>0</v>
      </c>
      <c r="N70" s="82">
        <f t="shared" si="17"/>
        <v>-533.52695635266195</v>
      </c>
      <c r="O70" s="83"/>
    </row>
    <row r="71" spans="2:16" ht="27.75" customHeight="1" x14ac:dyDescent="0.25">
      <c r="B71" s="63"/>
      <c r="C71" s="128" t="s">
        <v>19</v>
      </c>
      <c r="D71" s="128"/>
      <c r="E71" s="80">
        <f t="shared" si="16"/>
        <v>2823.3075080636168</v>
      </c>
      <c r="F71" s="80">
        <f>HLOOKUP(F7,'seriile dinamice pasive '!F4:FA230,34,FALSE)</f>
        <v>1526.2985609120688</v>
      </c>
      <c r="G71" s="80">
        <f t="shared" si="19"/>
        <v>1297.008947151548</v>
      </c>
      <c r="H71" s="81">
        <f>HLOOKUP(F7,'seriile dinamice pasive '!F4:FA230,124,FALSE)</f>
        <v>1145.9806710805201</v>
      </c>
      <c r="I71" s="81">
        <f>HLOOKUP(F7,'seriile dinamice pasive '!F4:FA230,158,FALSE)</f>
        <v>149.60866458056219</v>
      </c>
      <c r="J71" s="81">
        <f>HLOOKUP(F7,'seriile dinamice pasive '!F4:FA230,192,FALSE)</f>
        <v>1.4196114904657122</v>
      </c>
      <c r="K71" s="80"/>
      <c r="L71" s="80"/>
      <c r="M71" s="79"/>
      <c r="N71" s="82">
        <f t="shared" si="17"/>
        <v>2823.3075080636168</v>
      </c>
      <c r="O71" s="83"/>
    </row>
    <row r="72" spans="2:16" ht="27.75" customHeight="1" x14ac:dyDescent="0.25">
      <c r="B72" s="63"/>
      <c r="C72" s="129" t="s">
        <v>8</v>
      </c>
      <c r="D72" s="129"/>
      <c r="E72" s="82">
        <f t="shared" si="16"/>
        <v>2369.9217197431085</v>
      </c>
      <c r="F72" s="82">
        <f t="shared" ref="F72:M72" si="20">+F71+F63</f>
        <v>1217.9501737802411</v>
      </c>
      <c r="G72" s="82">
        <f t="shared" si="20"/>
        <v>1151.9715459628674</v>
      </c>
      <c r="H72" s="86">
        <f t="shared" si="20"/>
        <v>1146.2195175437801</v>
      </c>
      <c r="I72" s="86">
        <f t="shared" si="20"/>
        <v>-0.38846208733454546</v>
      </c>
      <c r="J72" s="86">
        <f t="shared" si="20"/>
        <v>6.1404905064218838</v>
      </c>
      <c r="K72" s="82">
        <f t="shared" si="20"/>
        <v>0</v>
      </c>
      <c r="L72" s="82">
        <f t="shared" si="20"/>
        <v>0</v>
      </c>
      <c r="M72" s="82">
        <f t="shared" si="20"/>
        <v>182.73351210962272</v>
      </c>
      <c r="N72" s="87"/>
      <c r="O72" s="88"/>
    </row>
    <row r="73" spans="2:16" x14ac:dyDescent="0.25">
      <c r="B73" s="63"/>
      <c r="O73" s="66"/>
    </row>
    <row r="74" spans="2:16" x14ac:dyDescent="0.25">
      <c r="B74" s="63"/>
      <c r="O74" s="66"/>
    </row>
    <row r="75" spans="2:16" x14ac:dyDescent="0.25">
      <c r="B75" s="63"/>
      <c r="O75" s="66"/>
    </row>
    <row r="76" spans="2:16" x14ac:dyDescent="0.25">
      <c r="B76" s="63"/>
      <c r="O76" s="66"/>
    </row>
    <row r="77" spans="2:16" x14ac:dyDescent="0.25">
      <c r="B77" s="63"/>
      <c r="O77" s="66"/>
    </row>
    <row r="78" spans="2:16" x14ac:dyDescent="0.25">
      <c r="B78" s="90"/>
      <c r="C78" s="91"/>
      <c r="D78" s="91"/>
      <c r="E78" s="91"/>
      <c r="F78" s="91"/>
      <c r="G78" s="91"/>
      <c r="H78" s="91"/>
      <c r="I78" s="91"/>
      <c r="J78" s="91"/>
      <c r="K78" s="91"/>
      <c r="L78" s="91"/>
      <c r="M78" s="91"/>
      <c r="N78" s="91"/>
      <c r="O78" s="92"/>
    </row>
    <row r="79" spans="2:16" ht="30.75" customHeight="1" x14ac:dyDescent="0.25"/>
  </sheetData>
  <mergeCells count="83">
    <mergeCell ref="C14:D14"/>
    <mergeCell ref="C3:N3"/>
    <mergeCell ref="C6:N6"/>
    <mergeCell ref="E10:E11"/>
    <mergeCell ref="F10:F11"/>
    <mergeCell ref="G10:G11"/>
    <mergeCell ref="H10:H11"/>
    <mergeCell ref="I10:I11"/>
    <mergeCell ref="J10:J11"/>
    <mergeCell ref="K10:K11"/>
    <mergeCell ref="C7:E7"/>
    <mergeCell ref="L10:L11"/>
    <mergeCell ref="M10:M11"/>
    <mergeCell ref="N10:N11"/>
    <mergeCell ref="C12:D12"/>
    <mergeCell ref="C13:D13"/>
    <mergeCell ref="C15:D15"/>
    <mergeCell ref="C16:D16"/>
    <mergeCell ref="C17:D17"/>
    <mergeCell ref="C18:D18"/>
    <mergeCell ref="C19:D19"/>
    <mergeCell ref="C20:D20"/>
    <mergeCell ref="C21:D21"/>
    <mergeCell ref="E27:E28"/>
    <mergeCell ref="F27:F28"/>
    <mergeCell ref="G27:G28"/>
    <mergeCell ref="N27:N28"/>
    <mergeCell ref="C29:D29"/>
    <mergeCell ref="C30:D30"/>
    <mergeCell ref="C31:D31"/>
    <mergeCell ref="C32:D32"/>
    <mergeCell ref="I27:I28"/>
    <mergeCell ref="J27:J28"/>
    <mergeCell ref="K27:K28"/>
    <mergeCell ref="L27:L28"/>
    <mergeCell ref="M27:M28"/>
    <mergeCell ref="H27:H28"/>
    <mergeCell ref="I44:I45"/>
    <mergeCell ref="C33:D33"/>
    <mergeCell ref="C34:D34"/>
    <mergeCell ref="C35:D35"/>
    <mergeCell ref="C36:D36"/>
    <mergeCell ref="C37:D37"/>
    <mergeCell ref="C38:D38"/>
    <mergeCell ref="C46:D46"/>
    <mergeCell ref="E44:E45"/>
    <mergeCell ref="F44:F45"/>
    <mergeCell ref="G44:G45"/>
    <mergeCell ref="H44:H45"/>
    <mergeCell ref="J44:J45"/>
    <mergeCell ref="K44:K45"/>
    <mergeCell ref="L44:L45"/>
    <mergeCell ref="M44:M45"/>
    <mergeCell ref="N44:N45"/>
    <mergeCell ref="C47:D47"/>
    <mergeCell ref="C48:D48"/>
    <mergeCell ref="C49:D49"/>
    <mergeCell ref="C50:D50"/>
    <mergeCell ref="C51:D51"/>
    <mergeCell ref="C52:D52"/>
    <mergeCell ref="C53:D53"/>
    <mergeCell ref="C54:D54"/>
    <mergeCell ref="C55:D55"/>
    <mergeCell ref="E61:E62"/>
    <mergeCell ref="C65:D65"/>
    <mergeCell ref="G61:G62"/>
    <mergeCell ref="H61:H62"/>
    <mergeCell ref="I61:I62"/>
    <mergeCell ref="J61:J62"/>
    <mergeCell ref="F61:F62"/>
    <mergeCell ref="L61:L62"/>
    <mergeCell ref="M61:M62"/>
    <mergeCell ref="N61:N62"/>
    <mergeCell ref="C63:D63"/>
    <mergeCell ref="C64:D64"/>
    <mergeCell ref="K61:K62"/>
    <mergeCell ref="C71:D71"/>
    <mergeCell ref="C72:D72"/>
    <mergeCell ref="C66:D66"/>
    <mergeCell ref="C67:D67"/>
    <mergeCell ref="C68:D68"/>
    <mergeCell ref="C69:D69"/>
    <mergeCell ref="C70:D70"/>
  </mergeCells>
  <conditionalFormatting sqref="E15:M15 E32:M32 E66:G66 I66:M66">
    <cfRule type="expression" dxfId="48" priority="3">
      <formula>#REF!=0</formula>
    </cfRule>
    <cfRule type="expression" dxfId="47" priority="4">
      <formula>#REF!=0</formula>
    </cfRule>
  </conditionalFormatting>
  <conditionalFormatting sqref="F12:G12 K12:M14 E13 G13:G14 E14:F14 L18:M18 E18:G20 K19 M19 K20:L20 F29:G29 K29:M31 E30 G30:G31 E31:F31 L35:M35 E35:G37 K36 M36 K37:L37 F46:G46 K46:M48 E47 G47:G48 E48:F48 L52:M52 E52:G54 K53 M53 K54:L54 F63:G63 K63:M65 E64 G64:G65 E65:F65 L69:M69 E69:G71 K70 M70 K71:L71">
    <cfRule type="expression" dxfId="46" priority="1">
      <formula>ABS(#REF!)&lt;0.001</formula>
    </cfRule>
  </conditionalFormatting>
  <conditionalFormatting sqref="H12:J14 E16:H16 J16:M16 E17:I17 K17:M17 H18:J20 H29:J31 E33:H33 J33:M33 E34:I34 K34:M34 H35:J37 H46:J48 I49:M49 E49:H50 J50:M50 E51:I51 K51:M51 H52:J54 H63:J65 E67:H67 J67:M67 E68:I68 K68:M68 H69:J71">
    <cfRule type="expression" dxfId="45" priority="2">
      <formula>ABS(#REF!)&lt;0.001</formula>
    </cfRule>
  </conditionalFormatting>
  <pageMargins left="0.70866141732283472" right="0.70866141732283472" top="0.74803149606299213" bottom="0.74803149606299213" header="0.31496062992125984" footer="0.31496062992125984"/>
  <pageSetup paperSize="8" scale="57" orientation="portrait" horizontalDpi="300" verticalDpi="300" r:id="rId1"/>
  <headerFooter>
    <oddHeader xml:space="preserve">&amp;L&amp;8
</oddHeader>
    <oddFooter xml:space="preserve">&amp;L&amp;8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Perioada" prompt="Vă rugăm să selectați perioada" xr:uid="{BE084CC3-D6F3-47D4-ABDF-4107ED2443DB}">
          <x14:formula1>
            <xm:f>'index list'!$A$2:$A$24</xm:f>
          </x14:formula1>
          <xm:sqref>F7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3747-A640-4A3F-B4A5-1027C3AB42E3}">
  <sheetPr codeName="Sheet4">
    <tabColor rgb="FF93AB9D"/>
    <pageSetUpPr fitToPage="1"/>
  </sheetPr>
  <dimension ref="A1:AE320"/>
  <sheetViews>
    <sheetView topLeftCell="B1" workbookViewId="0">
      <pane xSplit="4" ySplit="4" topLeftCell="F5" activePane="bottomRight" state="frozen"/>
      <selection activeCell="B2" sqref="B2"/>
      <selection pane="topRight" activeCell="B2" sqref="B2"/>
      <selection pane="bottomLeft" activeCell="B2" sqref="B2"/>
      <selection pane="bottomRight" activeCell="B1" sqref="B1"/>
    </sheetView>
  </sheetViews>
  <sheetFormatPr defaultColWidth="4" defaultRowHeight="15" zeroHeight="1" x14ac:dyDescent="0.25"/>
  <cols>
    <col min="1" max="1" customWidth="true" hidden="true" style="17" width="6.140625" collapsed="false"/>
    <col min="2" max="3" customWidth="true" style="1" width="3.85546875" collapsed="false"/>
    <col min="4" max="4" customWidth="true" style="1" width="14.42578125" collapsed="false"/>
    <col min="5" max="5" customWidth="true" style="1" width="39.0" collapsed="false"/>
    <col min="6" max="23" customWidth="true" style="4" width="10.85546875" collapsed="false"/>
    <col min="24" max="24" customWidth="true" style="4" width="15.85546875" collapsed="false"/>
    <col min="25" max="25" customWidth="true" style="4" width="14.7109375" collapsed="false"/>
    <col min="26" max="28" customWidth="true" style="4" width="15.85546875" collapsed="false"/>
    <col min="29" max="29" bestFit="true" customWidth="true" style="1" width="10.140625" collapsed="false"/>
    <col min="30" max="30" customWidth="true" style="1" width="11.5703125" collapsed="false"/>
    <col min="31" max="16383" style="1" width="4.0" collapsed="false"/>
    <col min="16384" max="16384" customWidth="true" style="1" width="22.140625" collapsed="false"/>
  </cols>
  <sheetData>
    <row r="1" spans="1:31" ht="60" customHeight="1" x14ac:dyDescent="0.25">
      <c r="A1" s="93"/>
      <c r="B1" s="94" t="s">
        <v>38</v>
      </c>
      <c r="C1" s="94"/>
      <c r="D1" s="94"/>
      <c r="E1" s="94"/>
      <c r="F1" s="48"/>
      <c r="G1" s="48"/>
      <c r="H1" s="48"/>
      <c r="I1" s="48"/>
      <c r="J1" s="48"/>
      <c r="K1" s="48"/>
      <c r="L1" s="48"/>
      <c r="M1" s="48"/>
      <c r="N1" s="48"/>
      <c r="O1" s="48"/>
      <c r="P1" s="48"/>
      <c r="Q1" s="48"/>
      <c r="R1" s="48"/>
      <c r="S1" s="48"/>
      <c r="T1" s="48"/>
      <c r="U1" s="48"/>
      <c r="V1" s="48"/>
      <c r="W1" s="48"/>
      <c r="X1" s="48"/>
      <c r="Y1" s="48"/>
      <c r="Z1" s="48"/>
      <c r="AA1" s="48"/>
      <c r="AB1" s="48"/>
    </row>
    <row r="2" spans="1:31" ht="18" customHeight="1" x14ac:dyDescent="0.25">
      <c r="A2" s="93"/>
      <c r="B2" s="95"/>
      <c r="C2" s="95"/>
      <c r="D2" s="95"/>
      <c r="E2" s="48"/>
      <c r="F2" s="96">
        <v>2020</v>
      </c>
      <c r="G2" s="97"/>
      <c r="H2" s="98"/>
      <c r="I2" s="99"/>
      <c r="J2" s="96">
        <v>2021</v>
      </c>
      <c r="K2" s="97"/>
      <c r="L2" s="98"/>
      <c r="M2" s="98"/>
      <c r="N2" s="96">
        <v>2022</v>
      </c>
      <c r="O2" s="97"/>
      <c r="P2" s="98"/>
      <c r="Q2" s="98"/>
      <c r="R2" s="96">
        <v>2023</v>
      </c>
      <c r="S2" s="98"/>
      <c r="T2" s="98"/>
      <c r="U2" s="98"/>
      <c r="V2" s="96">
        <v>2024</v>
      </c>
      <c r="W2" s="98"/>
      <c r="X2" s="98"/>
      <c r="Y2" s="99"/>
      <c r="Z2" s="137">
        <v>2025</v>
      </c>
      <c r="AA2" s="138"/>
      <c r="AB2" s="138"/>
    </row>
    <row r="3" spans="1:31" ht="18" customHeight="1" x14ac:dyDescent="0.25">
      <c r="A3" s="93"/>
      <c r="B3" s="100" t="s">
        <v>32</v>
      </c>
      <c r="C3" s="101"/>
      <c r="D3" s="101"/>
      <c r="E3" s="48"/>
      <c r="F3" s="102" t="s">
        <v>2</v>
      </c>
      <c r="G3" s="103" t="s">
        <v>3</v>
      </c>
      <c r="H3" s="103" t="s">
        <v>4</v>
      </c>
      <c r="I3" s="104" t="s">
        <v>5</v>
      </c>
      <c r="J3" s="102" t="s">
        <v>2</v>
      </c>
      <c r="K3" s="103" t="s">
        <v>3</v>
      </c>
      <c r="L3" s="103" t="s">
        <v>4</v>
      </c>
      <c r="M3" s="103" t="s">
        <v>5</v>
      </c>
      <c r="N3" s="102" t="s">
        <v>2</v>
      </c>
      <c r="O3" s="103" t="s">
        <v>3</v>
      </c>
      <c r="P3" s="103" t="s">
        <v>4</v>
      </c>
      <c r="Q3" s="103" t="s">
        <v>5</v>
      </c>
      <c r="R3" s="102" t="s">
        <v>2</v>
      </c>
      <c r="S3" s="103" t="s">
        <v>3</v>
      </c>
      <c r="T3" s="103" t="s">
        <v>4</v>
      </c>
      <c r="U3" s="103" t="s">
        <v>5</v>
      </c>
      <c r="V3" s="102" t="s">
        <v>2</v>
      </c>
      <c r="W3" s="103" t="s">
        <v>3</v>
      </c>
      <c r="X3" s="103" t="s">
        <v>4</v>
      </c>
      <c r="Y3" s="104" t="s">
        <v>5</v>
      </c>
      <c r="Z3" s="103" t="s">
        <v>2</v>
      </c>
      <c r="AA3" s="103" t="s">
        <v>3</v>
      </c>
      <c r="AB3" s="103" t="s">
        <v>4</v>
      </c>
    </row>
    <row r="4" spans="1:31" s="19" customFormat="1" ht="15.75" customHeight="1" x14ac:dyDescent="0.25">
      <c r="A4" s="93">
        <v>1</v>
      </c>
      <c r="B4" s="105"/>
      <c r="C4" s="105"/>
      <c r="D4" s="105"/>
      <c r="E4" s="106"/>
      <c r="F4" s="106" t="s">
        <v>40</v>
      </c>
      <c r="G4" s="106" t="s">
        <v>41</v>
      </c>
      <c r="H4" s="106" t="s">
        <v>42</v>
      </c>
      <c r="I4" s="106" t="s">
        <v>43</v>
      </c>
      <c r="J4" s="106" t="s">
        <v>44</v>
      </c>
      <c r="K4" s="106" t="s">
        <v>45</v>
      </c>
      <c r="L4" s="106" t="s">
        <v>46</v>
      </c>
      <c r="M4" s="106" t="s">
        <v>47</v>
      </c>
      <c r="N4" s="106" t="s">
        <v>48</v>
      </c>
      <c r="O4" s="106" t="s">
        <v>49</v>
      </c>
      <c r="P4" s="106" t="s">
        <v>50</v>
      </c>
      <c r="Q4" s="106" t="s">
        <v>51</v>
      </c>
      <c r="R4" s="106" t="s">
        <v>52</v>
      </c>
      <c r="S4" s="106" t="s">
        <v>53</v>
      </c>
      <c r="T4" s="106" t="s">
        <v>54</v>
      </c>
      <c r="U4" s="106" t="s">
        <v>55</v>
      </c>
      <c r="V4" s="106" t="s">
        <v>61</v>
      </c>
      <c r="W4" s="106" t="s">
        <v>62</v>
      </c>
      <c r="X4" s="106" t="s">
        <v>76</v>
      </c>
      <c r="Y4" s="106" t="s">
        <v>77</v>
      </c>
      <c r="Z4" s="106" t="s">
        <v>78</v>
      </c>
      <c r="AA4" s="106" t="s">
        <v>80</v>
      </c>
      <c r="AB4" s="106" t="s">
        <v>81</v>
      </c>
    </row>
    <row r="5" spans="1:31" ht="35.1" customHeight="1" x14ac:dyDescent="0.3">
      <c r="A5" s="93">
        <v>2</v>
      </c>
      <c r="B5" s="107" t="s">
        <v>21</v>
      </c>
      <c r="C5" s="108"/>
      <c r="D5" s="108"/>
      <c r="E5" s="48"/>
      <c r="F5" s="109"/>
      <c r="G5" s="109"/>
      <c r="H5" s="109"/>
      <c r="I5" s="109"/>
      <c r="J5" s="109"/>
      <c r="K5" s="109"/>
      <c r="L5" s="109"/>
      <c r="M5" s="109"/>
      <c r="N5" s="109"/>
      <c r="O5" s="109"/>
      <c r="P5" s="109"/>
      <c r="Q5" s="109"/>
      <c r="R5" s="109"/>
      <c r="S5" s="109"/>
      <c r="T5" s="109"/>
      <c r="U5" s="109"/>
      <c r="V5" s="109"/>
      <c r="W5" s="109"/>
      <c r="X5" s="109"/>
      <c r="Y5" s="109"/>
      <c r="Z5" s="109"/>
      <c r="AA5" s="109"/>
      <c r="AB5" s="109"/>
    </row>
    <row r="6" spans="1:31" ht="26.1" customHeight="1" x14ac:dyDescent="0.3">
      <c r="A6" s="93">
        <v>3</v>
      </c>
      <c r="B6" s="108"/>
      <c r="C6" s="110" t="s">
        <v>10</v>
      </c>
      <c r="D6" s="110"/>
      <c r="E6" s="48"/>
      <c r="F6" s="111"/>
      <c r="G6" s="111"/>
      <c r="H6" s="111"/>
      <c r="I6" s="111"/>
      <c r="J6" s="111"/>
      <c r="K6" s="111"/>
      <c r="L6" s="111"/>
      <c r="M6" s="111"/>
      <c r="N6" s="111"/>
      <c r="O6" s="111"/>
      <c r="P6" s="111"/>
      <c r="Q6" s="111"/>
      <c r="R6" s="111"/>
      <c r="S6" s="111"/>
      <c r="T6" s="111"/>
      <c r="U6" s="111"/>
      <c r="V6" s="111"/>
      <c r="W6" s="111"/>
      <c r="X6" s="111"/>
      <c r="Y6" s="111"/>
      <c r="Z6" s="111"/>
      <c r="AA6" s="111"/>
      <c r="AB6" s="111"/>
    </row>
    <row r="7" spans="1:31" ht="18" customHeight="1" x14ac:dyDescent="0.25">
      <c r="A7" s="93">
        <v>4</v>
      </c>
      <c r="B7" s="48"/>
      <c r="C7" s="48"/>
      <c r="D7" s="112" t="s">
        <v>13</v>
      </c>
      <c r="E7" s="112" t="s">
        <v>35</v>
      </c>
      <c r="F7" s="113">
        <f>F8+F9+F13+F14</f>
        <v>964.76267466504055</v>
      </c>
      <c r="G7" s="113">
        <f t="shared" ref="G7:W7" si="0">G8+G9+G13+G14</f>
        <v>2174.0631628763108</v>
      </c>
      <c r="H7" s="113">
        <f t="shared" si="0"/>
        <v>2088.0318929639889</v>
      </c>
      <c r="I7" s="113">
        <f t="shared" si="0"/>
        <v>1353.4020798169033</v>
      </c>
      <c r="J7" s="113">
        <f t="shared" si="0"/>
        <v>764.37888859159966</v>
      </c>
      <c r="K7" s="113">
        <f t="shared" si="0"/>
        <v>1415.4342688880149</v>
      </c>
      <c r="L7" s="113">
        <f t="shared" si="0"/>
        <v>1962.3777561017341</v>
      </c>
      <c r="M7" s="113">
        <f t="shared" si="0"/>
        <v>1531.5142496106291</v>
      </c>
      <c r="N7" s="113">
        <f t="shared" si="0"/>
        <v>-286.02169101710956</v>
      </c>
      <c r="O7" s="113">
        <f t="shared" si="0"/>
        <v>731.51444023052704</v>
      </c>
      <c r="P7" s="113">
        <f t="shared" si="0"/>
        <v>937.18616021010541</v>
      </c>
      <c r="Q7" s="113">
        <f t="shared" si="0"/>
        <v>2380.4398485898241</v>
      </c>
      <c r="R7" s="113">
        <f t="shared" si="0"/>
        <v>3220.2370162413126</v>
      </c>
      <c r="S7" s="113">
        <f t="shared" si="0"/>
        <v>2937.8150202534357</v>
      </c>
      <c r="T7" s="113">
        <f t="shared" si="0"/>
        <v>3629.0968730471695</v>
      </c>
      <c r="U7" s="113">
        <f t="shared" si="0"/>
        <v>3978.777906115949</v>
      </c>
      <c r="V7" s="113">
        <f t="shared" si="0"/>
        <v>1124.9071463821379</v>
      </c>
      <c r="W7" s="113">
        <f t="shared" si="0"/>
        <v>1301.6557880356306</v>
      </c>
      <c r="X7" s="113">
        <f t="shared" ref="X7:Y7" si="1">X8+X9+X13+X14</f>
        <v>2439.0053945275622</v>
      </c>
      <c r="Y7" s="113">
        <f t="shared" si="1"/>
        <v>2156.4659508955187</v>
      </c>
      <c r="Z7" s="113">
        <f t="shared" ref="Z7" si="2">Z8+Z9+Z13+Z14</f>
        <v>3002.4189337249923</v>
      </c>
      <c r="AA7" s="113">
        <f t="shared" ref="AA7:AB7" si="3">AA8+AA9+AA13+AA14</f>
        <v>3404.3050742919463</v>
      </c>
      <c r="AB7" s="113">
        <f t="shared" si="3"/>
        <v>2584.9547354451861</v>
      </c>
      <c r="AC7" s="26"/>
      <c r="AD7" s="26"/>
      <c r="AE7" s="25"/>
    </row>
    <row r="8" spans="1:31" x14ac:dyDescent="0.25">
      <c r="A8" s="93">
        <v>5</v>
      </c>
      <c r="B8" s="48"/>
      <c r="C8" s="48"/>
      <c r="D8" s="114" t="s">
        <v>14</v>
      </c>
      <c r="E8" s="114" t="s">
        <v>23</v>
      </c>
      <c r="F8" s="115"/>
      <c r="G8" s="115"/>
      <c r="H8" s="115"/>
      <c r="I8" s="115"/>
      <c r="J8" s="115"/>
      <c r="K8" s="115"/>
      <c r="L8" s="115"/>
      <c r="M8" s="115"/>
      <c r="N8" s="115"/>
      <c r="O8" s="115"/>
      <c r="P8" s="115"/>
      <c r="Q8" s="115"/>
      <c r="R8" s="115"/>
      <c r="S8" s="115"/>
      <c r="T8" s="115"/>
      <c r="U8" s="115"/>
      <c r="V8" s="115"/>
      <c r="W8" s="115"/>
      <c r="X8" s="115"/>
      <c r="Y8" s="115"/>
      <c r="Z8" s="115"/>
      <c r="AA8" s="115"/>
      <c r="AB8" s="115"/>
      <c r="AC8" s="26"/>
      <c r="AD8" s="26"/>
    </row>
    <row r="9" spans="1:31" x14ac:dyDescent="0.25">
      <c r="A9" s="93">
        <v>6</v>
      </c>
      <c r="B9" s="48"/>
      <c r="C9" s="48"/>
      <c r="D9" s="114" t="s">
        <v>15</v>
      </c>
      <c r="E9" s="114" t="s">
        <v>0</v>
      </c>
      <c r="F9" s="116">
        <f>SUM(F10:F12)</f>
        <v>964.76267466504055</v>
      </c>
      <c r="G9" s="116">
        <f t="shared" ref="G9:W9" si="4">SUM(G10:G12)</f>
        <v>2174.0631628763108</v>
      </c>
      <c r="H9" s="116">
        <f t="shared" si="4"/>
        <v>2088.0318929639889</v>
      </c>
      <c r="I9" s="116">
        <f t="shared" si="4"/>
        <v>1353.4020798169033</v>
      </c>
      <c r="J9" s="116">
        <f t="shared" si="4"/>
        <v>764.37888859159966</v>
      </c>
      <c r="K9" s="116">
        <f t="shared" si="4"/>
        <v>1415.4342688880149</v>
      </c>
      <c r="L9" s="116">
        <f t="shared" si="4"/>
        <v>1962.3777561017341</v>
      </c>
      <c r="M9" s="116">
        <f t="shared" si="4"/>
        <v>1531.5142496106291</v>
      </c>
      <c r="N9" s="116">
        <f t="shared" si="4"/>
        <v>-286.02169101710956</v>
      </c>
      <c r="O9" s="116">
        <f t="shared" si="4"/>
        <v>731.51444023052704</v>
      </c>
      <c r="P9" s="116">
        <f t="shared" si="4"/>
        <v>937.18616021010541</v>
      </c>
      <c r="Q9" s="116">
        <f t="shared" si="4"/>
        <v>2380.4398485898241</v>
      </c>
      <c r="R9" s="116">
        <f t="shared" si="4"/>
        <v>3220.2370162413126</v>
      </c>
      <c r="S9" s="116">
        <f t="shared" si="4"/>
        <v>2937.8150202534357</v>
      </c>
      <c r="T9" s="116">
        <f t="shared" si="4"/>
        <v>3629.0968730471695</v>
      </c>
      <c r="U9" s="116">
        <f t="shared" si="4"/>
        <v>3978.777906115949</v>
      </c>
      <c r="V9" s="116">
        <f t="shared" si="4"/>
        <v>1124.9071463821379</v>
      </c>
      <c r="W9" s="116">
        <f t="shared" si="4"/>
        <v>1301.6557880356306</v>
      </c>
      <c r="X9" s="116">
        <f t="shared" ref="X9:Y9" si="5">SUM(X10:X12)</f>
        <v>2439.0053945275622</v>
      </c>
      <c r="Y9" s="116">
        <f t="shared" si="5"/>
        <v>2156.4659508955187</v>
      </c>
      <c r="Z9" s="116">
        <f t="shared" ref="Z9" si="6">SUM(Z10:Z12)</f>
        <v>3002.4189337249923</v>
      </c>
      <c r="AA9" s="116">
        <f t="shared" ref="AA9:AB9" si="7">SUM(AA10:AA12)</f>
        <v>3404.3050742919463</v>
      </c>
      <c r="AB9" s="116">
        <f t="shared" si="7"/>
        <v>2584.9547354451861</v>
      </c>
      <c r="AC9" s="26"/>
      <c r="AD9" s="26"/>
    </row>
    <row r="10" spans="1:31" x14ac:dyDescent="0.25">
      <c r="A10" s="93">
        <v>7</v>
      </c>
      <c r="B10" s="48"/>
      <c r="C10" s="48"/>
      <c r="D10" s="117" t="s">
        <v>26</v>
      </c>
      <c r="E10" s="117" t="s">
        <v>25</v>
      </c>
      <c r="F10" s="118">
        <v>964.76267466504055</v>
      </c>
      <c r="G10" s="118">
        <v>2174.0631628763108</v>
      </c>
      <c r="H10" s="118">
        <v>2088.0318929639889</v>
      </c>
      <c r="I10" s="118">
        <v>1353.4020798169033</v>
      </c>
      <c r="J10" s="118">
        <v>764.37888859159966</v>
      </c>
      <c r="K10" s="118">
        <v>1415.4342688880149</v>
      </c>
      <c r="L10" s="118">
        <v>1962.3777561017341</v>
      </c>
      <c r="M10" s="118">
        <v>1531.5142496106291</v>
      </c>
      <c r="N10" s="118">
        <v>-286.02169101710956</v>
      </c>
      <c r="O10" s="118">
        <v>731.51444023052704</v>
      </c>
      <c r="P10" s="118">
        <v>937.18616021010541</v>
      </c>
      <c r="Q10" s="118">
        <v>2380.4398485898241</v>
      </c>
      <c r="R10" s="118">
        <v>3220.2370162413126</v>
      </c>
      <c r="S10" s="118">
        <v>2937.8150202534357</v>
      </c>
      <c r="T10" s="118">
        <v>3629.0968730471695</v>
      </c>
      <c r="U10" s="118">
        <v>3978.777906115949</v>
      </c>
      <c r="V10" s="118">
        <v>1124.9071463821379</v>
      </c>
      <c r="W10" s="118">
        <v>1301.6557880356306</v>
      </c>
      <c r="X10" s="118">
        <v>2439.0053945275622</v>
      </c>
      <c r="Y10" s="118">
        <v>2156.4659508955187</v>
      </c>
      <c r="Z10" s="118">
        <v>3002.4189337249923</v>
      </c>
      <c r="AA10" s="118">
        <v>3404.3050742919463</v>
      </c>
      <c r="AB10" s="118">
        <v>2584.9547354451861</v>
      </c>
      <c r="AC10" s="26"/>
      <c r="AD10" s="26"/>
    </row>
    <row r="11" spans="1:31" x14ac:dyDescent="0.25">
      <c r="A11" s="93">
        <v>8</v>
      </c>
      <c r="B11" s="48"/>
      <c r="C11" s="48"/>
      <c r="D11" s="117" t="s">
        <v>16</v>
      </c>
      <c r="E11" s="117" t="s">
        <v>27</v>
      </c>
      <c r="F11" s="118">
        <v>0</v>
      </c>
      <c r="G11" s="118">
        <v>0</v>
      </c>
      <c r="H11" s="118">
        <v>0</v>
      </c>
      <c r="I11" s="118">
        <v>0</v>
      </c>
      <c r="J11" s="118">
        <v>0</v>
      </c>
      <c r="K11" s="118">
        <v>0</v>
      </c>
      <c r="L11" s="118">
        <v>0</v>
      </c>
      <c r="M11" s="118">
        <v>0</v>
      </c>
      <c r="N11" s="118">
        <v>0</v>
      </c>
      <c r="O11" s="118">
        <v>0</v>
      </c>
      <c r="P11" s="118">
        <v>0</v>
      </c>
      <c r="Q11" s="118">
        <v>0</v>
      </c>
      <c r="R11" s="118">
        <v>0</v>
      </c>
      <c r="S11" s="118">
        <v>0</v>
      </c>
      <c r="T11" s="118">
        <v>0</v>
      </c>
      <c r="U11" s="118">
        <v>0</v>
      </c>
      <c r="V11" s="118">
        <v>0</v>
      </c>
      <c r="W11" s="118">
        <v>0</v>
      </c>
      <c r="X11" s="118">
        <v>0</v>
      </c>
      <c r="Y11" s="118">
        <v>0</v>
      </c>
      <c r="Z11" s="118">
        <v>0</v>
      </c>
      <c r="AA11" s="118">
        <v>0</v>
      </c>
      <c r="AB11" s="118">
        <v>0</v>
      </c>
      <c r="AC11" s="26"/>
      <c r="AD11" s="26"/>
    </row>
    <row r="12" spans="1:31" x14ac:dyDescent="0.25">
      <c r="A12" s="93">
        <v>9</v>
      </c>
      <c r="B12" s="48"/>
      <c r="C12" s="48"/>
      <c r="D12" s="117" t="s">
        <v>17</v>
      </c>
      <c r="E12" s="117" t="s">
        <v>28</v>
      </c>
      <c r="F12" s="118">
        <v>0</v>
      </c>
      <c r="G12" s="118">
        <v>0</v>
      </c>
      <c r="H12" s="118">
        <v>0</v>
      </c>
      <c r="I12" s="118">
        <v>0</v>
      </c>
      <c r="J12" s="118">
        <v>0</v>
      </c>
      <c r="K12" s="118">
        <v>0</v>
      </c>
      <c r="L12" s="118">
        <v>0</v>
      </c>
      <c r="M12" s="118">
        <v>0</v>
      </c>
      <c r="N12" s="118">
        <v>0</v>
      </c>
      <c r="O12" s="118">
        <v>0</v>
      </c>
      <c r="P12" s="118">
        <v>0</v>
      </c>
      <c r="Q12" s="118">
        <v>0</v>
      </c>
      <c r="R12" s="118">
        <v>0</v>
      </c>
      <c r="S12" s="118">
        <v>0</v>
      </c>
      <c r="T12" s="118">
        <v>0</v>
      </c>
      <c r="U12" s="118">
        <v>0</v>
      </c>
      <c r="V12" s="118">
        <v>0</v>
      </c>
      <c r="W12" s="118">
        <v>0</v>
      </c>
      <c r="X12" s="118">
        <v>0</v>
      </c>
      <c r="Y12" s="118">
        <v>0</v>
      </c>
      <c r="Z12" s="118">
        <v>0</v>
      </c>
      <c r="AA12" s="118">
        <v>0</v>
      </c>
      <c r="AB12" s="118">
        <v>0</v>
      </c>
      <c r="AC12" s="26"/>
      <c r="AD12" s="26"/>
    </row>
    <row r="13" spans="1:31" x14ac:dyDescent="0.25">
      <c r="A13" s="93">
        <v>10</v>
      </c>
      <c r="B13" s="48"/>
      <c r="C13" s="48"/>
      <c r="D13" s="114" t="s">
        <v>18</v>
      </c>
      <c r="E13" s="114" t="s">
        <v>29</v>
      </c>
      <c r="F13" s="118">
        <v>0</v>
      </c>
      <c r="G13" s="118">
        <v>0</v>
      </c>
      <c r="H13" s="118">
        <v>0</v>
      </c>
      <c r="I13" s="118">
        <v>0</v>
      </c>
      <c r="J13" s="118">
        <v>0</v>
      </c>
      <c r="K13" s="118">
        <v>0</v>
      </c>
      <c r="L13" s="118">
        <v>0</v>
      </c>
      <c r="M13" s="118">
        <v>0</v>
      </c>
      <c r="N13" s="118">
        <v>0</v>
      </c>
      <c r="O13" s="118">
        <v>0</v>
      </c>
      <c r="P13" s="118">
        <v>0</v>
      </c>
      <c r="Q13" s="118">
        <v>0</v>
      </c>
      <c r="R13" s="118">
        <v>0</v>
      </c>
      <c r="S13" s="118">
        <v>0</v>
      </c>
      <c r="T13" s="118">
        <v>0</v>
      </c>
      <c r="U13" s="118">
        <v>0</v>
      </c>
      <c r="V13" s="118">
        <v>0</v>
      </c>
      <c r="W13" s="118">
        <v>0</v>
      </c>
      <c r="X13" s="118">
        <v>0</v>
      </c>
      <c r="Y13" s="118">
        <v>0</v>
      </c>
      <c r="Z13" s="118">
        <v>0</v>
      </c>
      <c r="AA13" s="118">
        <v>0</v>
      </c>
      <c r="AB13" s="118">
        <v>0</v>
      </c>
      <c r="AC13" s="26"/>
      <c r="AD13" s="26"/>
    </row>
    <row r="14" spans="1:31" x14ac:dyDescent="0.25">
      <c r="A14" s="93">
        <v>11</v>
      </c>
      <c r="B14" s="48"/>
      <c r="C14" s="48"/>
      <c r="D14" s="114" t="s">
        <v>30</v>
      </c>
      <c r="E14" s="114" t="s">
        <v>31</v>
      </c>
      <c r="F14" s="118">
        <v>0</v>
      </c>
      <c r="G14" s="118">
        <v>0</v>
      </c>
      <c r="H14" s="118">
        <v>0</v>
      </c>
      <c r="I14" s="118">
        <v>0</v>
      </c>
      <c r="J14" s="118">
        <v>0</v>
      </c>
      <c r="K14" s="118">
        <v>0</v>
      </c>
      <c r="L14" s="118">
        <v>0</v>
      </c>
      <c r="M14" s="118">
        <v>0</v>
      </c>
      <c r="N14" s="118">
        <v>0</v>
      </c>
      <c r="O14" s="118">
        <v>0</v>
      </c>
      <c r="P14" s="118">
        <v>0</v>
      </c>
      <c r="Q14" s="118">
        <v>0</v>
      </c>
      <c r="R14" s="118">
        <v>0</v>
      </c>
      <c r="S14" s="118">
        <v>0</v>
      </c>
      <c r="T14" s="118">
        <v>0</v>
      </c>
      <c r="U14" s="118">
        <v>0</v>
      </c>
      <c r="V14" s="118">
        <v>0</v>
      </c>
      <c r="W14" s="118">
        <v>0</v>
      </c>
      <c r="X14" s="118">
        <v>0</v>
      </c>
      <c r="Y14" s="118">
        <v>0</v>
      </c>
      <c r="Z14" s="118">
        <v>0</v>
      </c>
      <c r="AA14" s="118">
        <v>0</v>
      </c>
      <c r="AB14" s="118">
        <v>0</v>
      </c>
      <c r="AC14" s="26"/>
      <c r="AD14" s="26"/>
    </row>
    <row r="15" spans="1:31" ht="15.75" x14ac:dyDescent="0.25">
      <c r="A15" s="93">
        <v>12</v>
      </c>
      <c r="B15" s="48"/>
      <c r="C15" s="48"/>
      <c r="D15" s="112" t="s">
        <v>19</v>
      </c>
      <c r="E15" s="112" t="s">
        <v>22</v>
      </c>
      <c r="F15" s="113">
        <v>-31.950695564835154</v>
      </c>
      <c r="G15" s="113">
        <v>-58.913708698021992</v>
      </c>
      <c r="H15" s="113">
        <v>-251.29355073260871</v>
      </c>
      <c r="I15" s="113">
        <v>-208.03904468521742</v>
      </c>
      <c r="J15" s="113">
        <v>-135.53129598666663</v>
      </c>
      <c r="K15" s="113">
        <v>-231.45849452307669</v>
      </c>
      <c r="L15" s="113">
        <v>-249.83510698608708</v>
      </c>
      <c r="M15" s="113">
        <v>-17.649630980000008</v>
      </c>
      <c r="N15" s="113">
        <v>52.234926750222222</v>
      </c>
      <c r="O15" s="113">
        <v>-179.2624590395605</v>
      </c>
      <c r="P15" s="113">
        <v>-171.69260979705362</v>
      </c>
      <c r="Q15" s="113">
        <v>-170.30424204341097</v>
      </c>
      <c r="R15" s="113">
        <v>78.961876833333392</v>
      </c>
      <c r="S15" s="113">
        <v>0</v>
      </c>
      <c r="T15" s="113">
        <v>-66.673276956521732</v>
      </c>
      <c r="U15" s="113">
        <v>4.3666191560660295</v>
      </c>
      <c r="V15" s="113">
        <v>-7.5055125037478918</v>
      </c>
      <c r="W15" s="113">
        <v>-0.60390223635103313</v>
      </c>
      <c r="X15" s="113">
        <v>0.19174178186315213</v>
      </c>
      <c r="Y15" s="113">
        <v>-0.17760457209534777</v>
      </c>
      <c r="Z15" s="113">
        <v>0.71221407086355581</v>
      </c>
      <c r="AA15" s="113">
        <v>-0.22402409936986822</v>
      </c>
      <c r="AB15" s="113">
        <v>0.61057845880298101</v>
      </c>
      <c r="AC15" s="26"/>
      <c r="AD15" s="26"/>
    </row>
    <row r="16" spans="1:31" ht="9" customHeight="1" x14ac:dyDescent="0.25">
      <c r="A16" s="93">
        <v>13</v>
      </c>
      <c r="B16" s="48"/>
      <c r="C16" s="48"/>
      <c r="D16" s="119"/>
      <c r="E16" s="119"/>
      <c r="F16" s="120">
        <v>0</v>
      </c>
      <c r="G16" s="120">
        <v>0</v>
      </c>
      <c r="H16" s="120">
        <v>0</v>
      </c>
      <c r="I16" s="120">
        <v>0</v>
      </c>
      <c r="J16" s="120">
        <v>0</v>
      </c>
      <c r="K16" s="120">
        <v>0</v>
      </c>
      <c r="L16" s="120">
        <v>0</v>
      </c>
      <c r="M16" s="120">
        <v>0</v>
      </c>
      <c r="N16" s="120">
        <v>0</v>
      </c>
      <c r="O16" s="120">
        <v>0</v>
      </c>
      <c r="P16" s="120">
        <v>0</v>
      </c>
      <c r="Q16" s="120">
        <v>0</v>
      </c>
      <c r="R16" s="120">
        <v>0</v>
      </c>
      <c r="S16" s="120">
        <v>0</v>
      </c>
      <c r="T16" s="120">
        <v>0</v>
      </c>
      <c r="U16" s="120">
        <v>0</v>
      </c>
      <c r="V16" s="120">
        <v>0</v>
      </c>
      <c r="W16" s="120">
        <v>0</v>
      </c>
      <c r="X16" s="120">
        <v>0</v>
      </c>
      <c r="Y16" s="120">
        <v>0</v>
      </c>
      <c r="Z16" s="120">
        <v>0</v>
      </c>
      <c r="AA16" s="120">
        <v>0</v>
      </c>
      <c r="AB16" s="120">
        <v>0</v>
      </c>
      <c r="AC16" s="26"/>
      <c r="AD16" s="26"/>
    </row>
    <row r="17" spans="1:30" ht="26.1" customHeight="1" x14ac:dyDescent="0.3">
      <c r="A17" s="93">
        <v>14</v>
      </c>
      <c r="B17" s="108"/>
      <c r="C17" s="110" t="s">
        <v>11</v>
      </c>
      <c r="D17" s="110"/>
      <c r="E17" s="48"/>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26"/>
      <c r="AD17" s="26"/>
    </row>
    <row r="18" spans="1:30" ht="18" customHeight="1" x14ac:dyDescent="0.25">
      <c r="A18" s="93">
        <v>15</v>
      </c>
      <c r="B18" s="48"/>
      <c r="C18" s="48"/>
      <c r="D18" s="112" t="s">
        <v>13</v>
      </c>
      <c r="E18" s="112" t="s">
        <v>35</v>
      </c>
      <c r="F18" s="113">
        <f>F19+F20+F24+F25</f>
        <v>77.728320909998729</v>
      </c>
      <c r="G18" s="113">
        <f t="shared" ref="G18" si="8">G19+G20+G24+G25</f>
        <v>17.778776930001186</v>
      </c>
      <c r="H18" s="113">
        <f t="shared" ref="H18" si="9">H19+H20+H24+H25</f>
        <v>119.67436472999543</v>
      </c>
      <c r="I18" s="113">
        <f t="shared" ref="I18" si="10">I19+I20+I24+I25</f>
        <v>122.1117751600068</v>
      </c>
      <c r="J18" s="113">
        <f t="shared" ref="J18" si="11">J19+J20+J24+J25</f>
        <v>111.08655605999957</v>
      </c>
      <c r="K18" s="113">
        <f t="shared" ref="K18" si="12">K19+K20+K24+K25</f>
        <v>208.2726372099969</v>
      </c>
      <c r="L18" s="113">
        <f t="shared" ref="L18" si="13">L19+L20+L24+L25</f>
        <v>83.391192020000744</v>
      </c>
      <c r="M18" s="113">
        <f t="shared" ref="M18" si="14">M19+M20+M24+M25</f>
        <v>221.20013075000315</v>
      </c>
      <c r="N18" s="113">
        <f t="shared" ref="N18" si="15">N19+N20+N24+N25</f>
        <v>208.73117585</v>
      </c>
      <c r="O18" s="113">
        <f t="shared" ref="O18" si="16">O19+O20+O24+O25</f>
        <v>964.32790626999849</v>
      </c>
      <c r="P18" s="113">
        <f t="shared" ref="P18" si="17">P19+P20+P24+P25</f>
        <v>672.55071757999758</v>
      </c>
      <c r="Q18" s="113">
        <f t="shared" ref="Q18" si="18">Q19+Q20+Q24+Q25</f>
        <v>827.38080208999963</v>
      </c>
      <c r="R18" s="113">
        <f t="shared" ref="R18" si="19">R19+R20+R24+R25</f>
        <v>-470.24445129999367</v>
      </c>
      <c r="S18" s="113">
        <f t="shared" ref="S18" si="20">S19+S20+S24+S25</f>
        <v>-325.20839333000185</v>
      </c>
      <c r="T18" s="113">
        <f t="shared" ref="T18" si="21">T19+T20+T24+T25</f>
        <v>-127.15119753000909</v>
      </c>
      <c r="U18" s="113">
        <f t="shared" ref="U18" si="22">U19+U20+U24+U25</f>
        <v>251.04059661000065</v>
      </c>
      <c r="V18" s="113">
        <f t="shared" ref="V18" si="23">V19+V20+V24+V25</f>
        <v>-6874.3471701135713</v>
      </c>
      <c r="W18" s="113">
        <f t="shared" ref="W18:X18" si="24">W19+W20+W24+W25</f>
        <v>269.72623209358426</v>
      </c>
      <c r="X18" s="113">
        <f t="shared" si="24"/>
        <v>7252.9647981503804</v>
      </c>
      <c r="Y18" s="113">
        <f t="shared" ref="Y18:Z18" si="25">Y19+Y20+Y24+Y25</f>
        <v>367.14770539384335</v>
      </c>
      <c r="Z18" s="113">
        <f t="shared" si="25"/>
        <v>-2562.1300268035702</v>
      </c>
      <c r="AA18" s="113">
        <f t="shared" ref="AA18:AB18" si="26">AA19+AA20+AA24+AA25</f>
        <v>1071.2775638533712</v>
      </c>
      <c r="AB18" s="113">
        <f t="shared" si="26"/>
        <v>2297.4698546785585</v>
      </c>
      <c r="AC18" s="26"/>
      <c r="AD18" s="26"/>
    </row>
    <row r="19" spans="1:30" x14ac:dyDescent="0.25">
      <c r="A19" s="93">
        <v>16</v>
      </c>
      <c r="B19" s="48"/>
      <c r="C19" s="48"/>
      <c r="D19" s="114" t="s">
        <v>14</v>
      </c>
      <c r="E19" s="114" t="s">
        <v>23</v>
      </c>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26"/>
      <c r="AD19" s="26"/>
    </row>
    <row r="20" spans="1:30" x14ac:dyDescent="0.25">
      <c r="A20" s="93">
        <v>17</v>
      </c>
      <c r="B20" s="48"/>
      <c r="C20" s="48"/>
      <c r="D20" s="114" t="s">
        <v>15</v>
      </c>
      <c r="E20" s="114" t="s">
        <v>0</v>
      </c>
      <c r="F20" s="116">
        <f>SUM(F21:F23)</f>
        <v>0</v>
      </c>
      <c r="G20" s="116">
        <f t="shared" ref="G20" si="27">SUM(G21:G23)</f>
        <v>0</v>
      </c>
      <c r="H20" s="116">
        <f t="shared" ref="H20" si="28">SUM(H21:H23)</f>
        <v>0</v>
      </c>
      <c r="I20" s="116">
        <f t="shared" ref="I20" si="29">SUM(I21:I23)</f>
        <v>0</v>
      </c>
      <c r="J20" s="116">
        <f t="shared" ref="J20" si="30">SUM(J21:J23)</f>
        <v>0</v>
      </c>
      <c r="K20" s="116">
        <f t="shared" ref="K20" si="31">SUM(K21:K23)</f>
        <v>0</v>
      </c>
      <c r="L20" s="116">
        <f t="shared" ref="L20" si="32">SUM(L21:L23)</f>
        <v>0</v>
      </c>
      <c r="M20" s="116">
        <f t="shared" ref="M20" si="33">SUM(M21:M23)</f>
        <v>0</v>
      </c>
      <c r="N20" s="116">
        <f t="shared" ref="N20" si="34">SUM(N21:N23)</f>
        <v>0</v>
      </c>
      <c r="O20" s="116">
        <f t="shared" ref="O20" si="35">SUM(O21:O23)</f>
        <v>0</v>
      </c>
      <c r="P20" s="116">
        <f t="shared" ref="P20" si="36">SUM(P21:P23)</f>
        <v>0</v>
      </c>
      <c r="Q20" s="116">
        <f t="shared" ref="Q20" si="37">SUM(Q21:Q23)</f>
        <v>0</v>
      </c>
      <c r="R20" s="116">
        <f t="shared" ref="R20" si="38">SUM(R21:R23)</f>
        <v>0</v>
      </c>
      <c r="S20" s="116">
        <f t="shared" ref="S20" si="39">SUM(S21:S23)</f>
        <v>0</v>
      </c>
      <c r="T20" s="116">
        <f t="shared" ref="T20" si="40">SUM(T21:T23)</f>
        <v>0</v>
      </c>
      <c r="U20" s="116">
        <f t="shared" ref="U20" si="41">SUM(U21:U23)</f>
        <v>0</v>
      </c>
      <c r="V20" s="116">
        <f t="shared" ref="V20" si="42">SUM(V21:V23)</f>
        <v>0</v>
      </c>
      <c r="W20" s="116">
        <f t="shared" ref="W20:X20" si="43">SUM(W21:W23)</f>
        <v>0</v>
      </c>
      <c r="X20" s="116">
        <f t="shared" si="43"/>
        <v>0</v>
      </c>
      <c r="Y20" s="116">
        <f t="shared" ref="Y20:Z20" si="44">SUM(Y21:Y23)</f>
        <v>0</v>
      </c>
      <c r="Z20" s="116">
        <f t="shared" si="44"/>
        <v>0</v>
      </c>
      <c r="AA20" s="116">
        <f t="shared" ref="AA20:AB20" si="45">SUM(AA21:AA23)</f>
        <v>0</v>
      </c>
      <c r="AB20" s="116">
        <f t="shared" si="45"/>
        <v>0</v>
      </c>
      <c r="AC20" s="26"/>
      <c r="AD20" s="26"/>
    </row>
    <row r="21" spans="1:30" x14ac:dyDescent="0.25">
      <c r="A21" s="93">
        <v>18</v>
      </c>
      <c r="B21" s="48"/>
      <c r="C21" s="48"/>
      <c r="D21" s="117" t="s">
        <v>26</v>
      </c>
      <c r="E21" s="117" t="s">
        <v>25</v>
      </c>
      <c r="F21" s="118">
        <v>0</v>
      </c>
      <c r="G21" s="118">
        <v>0</v>
      </c>
      <c r="H21" s="118">
        <v>0</v>
      </c>
      <c r="I21" s="118">
        <v>0</v>
      </c>
      <c r="J21" s="118">
        <v>0</v>
      </c>
      <c r="K21" s="118">
        <v>0</v>
      </c>
      <c r="L21" s="118">
        <v>0</v>
      </c>
      <c r="M21" s="118">
        <v>0</v>
      </c>
      <c r="N21" s="118">
        <v>0</v>
      </c>
      <c r="O21" s="118">
        <v>0</v>
      </c>
      <c r="P21" s="118">
        <v>0</v>
      </c>
      <c r="Q21" s="118">
        <v>0</v>
      </c>
      <c r="R21" s="118">
        <v>0</v>
      </c>
      <c r="S21" s="118">
        <v>0</v>
      </c>
      <c r="T21" s="118">
        <v>0</v>
      </c>
      <c r="U21" s="118">
        <v>0</v>
      </c>
      <c r="V21" s="118">
        <v>0</v>
      </c>
      <c r="W21" s="118">
        <v>0</v>
      </c>
      <c r="X21" s="118">
        <v>0</v>
      </c>
      <c r="Y21" s="118">
        <v>0</v>
      </c>
      <c r="Z21" s="118">
        <v>0</v>
      </c>
      <c r="AA21" s="118">
        <v>0</v>
      </c>
      <c r="AB21" s="118">
        <v>0</v>
      </c>
      <c r="AC21" s="26"/>
      <c r="AD21" s="26"/>
    </row>
    <row r="22" spans="1:30" x14ac:dyDescent="0.25">
      <c r="A22" s="93">
        <v>19</v>
      </c>
      <c r="B22" s="48"/>
      <c r="C22" s="48"/>
      <c r="D22" s="117" t="s">
        <v>16</v>
      </c>
      <c r="E22" s="117" t="s">
        <v>27</v>
      </c>
      <c r="F22" s="118">
        <v>0</v>
      </c>
      <c r="G22" s="118">
        <v>0</v>
      </c>
      <c r="H22" s="118">
        <v>0</v>
      </c>
      <c r="I22" s="118">
        <v>0</v>
      </c>
      <c r="J22" s="118">
        <v>0</v>
      </c>
      <c r="K22" s="118">
        <v>0</v>
      </c>
      <c r="L22" s="118">
        <v>0</v>
      </c>
      <c r="M22" s="118">
        <v>0</v>
      </c>
      <c r="N22" s="118">
        <v>0</v>
      </c>
      <c r="O22" s="118">
        <v>0</v>
      </c>
      <c r="P22" s="118">
        <v>0</v>
      </c>
      <c r="Q22" s="118">
        <v>0</v>
      </c>
      <c r="R22" s="118">
        <v>0</v>
      </c>
      <c r="S22" s="118">
        <v>0</v>
      </c>
      <c r="T22" s="118">
        <v>0</v>
      </c>
      <c r="U22" s="118">
        <v>0</v>
      </c>
      <c r="V22" s="118">
        <v>0</v>
      </c>
      <c r="W22" s="118">
        <v>0</v>
      </c>
      <c r="X22" s="118">
        <v>0</v>
      </c>
      <c r="Y22" s="118">
        <v>0</v>
      </c>
      <c r="Z22" s="118">
        <v>0</v>
      </c>
      <c r="AA22" s="118">
        <v>0</v>
      </c>
      <c r="AB22" s="118">
        <v>0</v>
      </c>
      <c r="AC22" s="26"/>
      <c r="AD22" s="26"/>
    </row>
    <row r="23" spans="1:30" x14ac:dyDescent="0.25">
      <c r="A23" s="93">
        <v>20</v>
      </c>
      <c r="B23" s="48"/>
      <c r="C23" s="48"/>
      <c r="D23" s="117" t="s">
        <v>17</v>
      </c>
      <c r="E23" s="117" t="s">
        <v>28</v>
      </c>
      <c r="F23" s="118">
        <v>0</v>
      </c>
      <c r="G23" s="118">
        <v>0</v>
      </c>
      <c r="H23" s="118">
        <v>0</v>
      </c>
      <c r="I23" s="118">
        <v>0</v>
      </c>
      <c r="J23" s="118">
        <v>0</v>
      </c>
      <c r="K23" s="118">
        <v>0</v>
      </c>
      <c r="L23" s="118">
        <v>0</v>
      </c>
      <c r="M23" s="118">
        <v>0</v>
      </c>
      <c r="N23" s="118">
        <v>0</v>
      </c>
      <c r="O23" s="118">
        <v>0</v>
      </c>
      <c r="P23" s="118">
        <v>0</v>
      </c>
      <c r="Q23" s="118">
        <v>0</v>
      </c>
      <c r="R23" s="118">
        <v>0</v>
      </c>
      <c r="S23" s="118">
        <v>0</v>
      </c>
      <c r="T23" s="118">
        <v>0</v>
      </c>
      <c r="U23" s="118">
        <v>0</v>
      </c>
      <c r="V23" s="118">
        <v>0</v>
      </c>
      <c r="W23" s="118">
        <v>0</v>
      </c>
      <c r="X23" s="118">
        <v>0</v>
      </c>
      <c r="Y23" s="118">
        <v>0</v>
      </c>
      <c r="Z23" s="118">
        <v>0</v>
      </c>
      <c r="AA23" s="118">
        <v>0</v>
      </c>
      <c r="AB23" s="118">
        <v>0</v>
      </c>
      <c r="AC23" s="26"/>
      <c r="AD23" s="26"/>
    </row>
    <row r="24" spans="1:30" x14ac:dyDescent="0.25">
      <c r="A24" s="93">
        <v>21</v>
      </c>
      <c r="B24" s="48"/>
      <c r="C24" s="48"/>
      <c r="D24" s="114" t="s">
        <v>1</v>
      </c>
      <c r="E24" s="114" t="s">
        <v>29</v>
      </c>
      <c r="F24" s="116">
        <v>77.728320909998729</v>
      </c>
      <c r="G24" s="116">
        <v>17.778776930001186</v>
      </c>
      <c r="H24" s="116">
        <v>119.67436472999543</v>
      </c>
      <c r="I24" s="116">
        <v>122.1117751600068</v>
      </c>
      <c r="J24" s="116">
        <v>111.08655605999957</v>
      </c>
      <c r="K24" s="116">
        <v>208.2726372099969</v>
      </c>
      <c r="L24" s="116">
        <v>83.391192020000744</v>
      </c>
      <c r="M24" s="116">
        <v>221.20013075000315</v>
      </c>
      <c r="N24" s="116">
        <v>208.73117585</v>
      </c>
      <c r="O24" s="116">
        <v>964.32790626999849</v>
      </c>
      <c r="P24" s="116">
        <v>672.55071757999758</v>
      </c>
      <c r="Q24" s="116">
        <v>827.38080208999963</v>
      </c>
      <c r="R24" s="116">
        <v>-470.24445129999367</v>
      </c>
      <c r="S24" s="116">
        <v>-325.20839333000185</v>
      </c>
      <c r="T24" s="116">
        <v>-127.15119753000909</v>
      </c>
      <c r="U24" s="116">
        <v>251.04059661000065</v>
      </c>
      <c r="V24" s="116">
        <v>-6874.3471701135713</v>
      </c>
      <c r="W24" s="116">
        <v>269.72623209358426</v>
      </c>
      <c r="X24" s="116">
        <v>7252.9647981503804</v>
      </c>
      <c r="Y24" s="116">
        <v>367.14770539384335</v>
      </c>
      <c r="Z24" s="116">
        <v>-2562.1300268035702</v>
      </c>
      <c r="AA24" s="116">
        <v>1071.2775638533712</v>
      </c>
      <c r="AB24" s="116">
        <v>2297.4698546785585</v>
      </c>
      <c r="AC24" s="26"/>
      <c r="AD24" s="26"/>
    </row>
    <row r="25" spans="1:30" x14ac:dyDescent="0.25">
      <c r="A25" s="93">
        <v>22</v>
      </c>
      <c r="B25" s="48"/>
      <c r="C25" s="48"/>
      <c r="D25" s="114" t="s">
        <v>30</v>
      </c>
      <c r="E25" s="114" t="s">
        <v>31</v>
      </c>
      <c r="F25" s="116">
        <v>0</v>
      </c>
      <c r="G25" s="116">
        <v>0</v>
      </c>
      <c r="H25" s="116">
        <v>0</v>
      </c>
      <c r="I25" s="116">
        <v>0</v>
      </c>
      <c r="J25" s="116">
        <v>0</v>
      </c>
      <c r="K25" s="116">
        <v>0</v>
      </c>
      <c r="L25" s="116">
        <v>0</v>
      </c>
      <c r="M25" s="116">
        <v>0</v>
      </c>
      <c r="N25" s="116">
        <v>0</v>
      </c>
      <c r="O25" s="116">
        <v>0</v>
      </c>
      <c r="P25" s="116">
        <v>0</v>
      </c>
      <c r="Q25" s="116">
        <v>0</v>
      </c>
      <c r="R25" s="116">
        <v>0</v>
      </c>
      <c r="S25" s="116">
        <v>0</v>
      </c>
      <c r="T25" s="116">
        <v>0</v>
      </c>
      <c r="U25" s="116">
        <v>0</v>
      </c>
      <c r="V25" s="116">
        <v>0</v>
      </c>
      <c r="W25" s="116">
        <v>0</v>
      </c>
      <c r="X25" s="116">
        <v>0</v>
      </c>
      <c r="Y25" s="116">
        <v>0</v>
      </c>
      <c r="Z25" s="116">
        <v>0</v>
      </c>
      <c r="AA25" s="116">
        <v>0</v>
      </c>
      <c r="AB25" s="116">
        <v>0</v>
      </c>
      <c r="AC25" s="26"/>
      <c r="AD25" s="26"/>
    </row>
    <row r="26" spans="1:30" ht="15.75" x14ac:dyDescent="0.25">
      <c r="A26" s="93">
        <v>23</v>
      </c>
      <c r="B26" s="48"/>
      <c r="C26" s="48"/>
      <c r="D26" s="112" t="s">
        <v>19</v>
      </c>
      <c r="E26" s="112" t="s">
        <v>22</v>
      </c>
      <c r="F26" s="113">
        <v>0</v>
      </c>
      <c r="G26" s="113">
        <v>0</v>
      </c>
      <c r="H26" s="113">
        <v>0</v>
      </c>
      <c r="I26" s="113">
        <v>0</v>
      </c>
      <c r="J26" s="113">
        <v>0</v>
      </c>
      <c r="K26" s="113">
        <v>0</v>
      </c>
      <c r="L26" s="113">
        <v>0</v>
      </c>
      <c r="M26" s="113">
        <v>0</v>
      </c>
      <c r="N26" s="113">
        <v>0</v>
      </c>
      <c r="O26" s="113">
        <v>0</v>
      </c>
      <c r="P26" s="113">
        <v>0</v>
      </c>
      <c r="Q26" s="113">
        <v>0</v>
      </c>
      <c r="R26" s="113">
        <v>0</v>
      </c>
      <c r="S26" s="113">
        <v>0</v>
      </c>
      <c r="T26" s="113">
        <v>0</v>
      </c>
      <c r="U26" s="113">
        <v>0</v>
      </c>
      <c r="V26" s="113">
        <v>0</v>
      </c>
      <c r="W26" s="113">
        <v>0</v>
      </c>
      <c r="X26" s="113">
        <v>0</v>
      </c>
      <c r="Y26" s="113">
        <v>0</v>
      </c>
      <c r="Z26" s="113">
        <v>0</v>
      </c>
      <c r="AA26" s="113">
        <v>0</v>
      </c>
      <c r="AB26" s="113">
        <v>0</v>
      </c>
      <c r="AC26" s="26"/>
      <c r="AD26" s="26"/>
    </row>
    <row r="27" spans="1:30" ht="9" customHeight="1" x14ac:dyDescent="0.25">
      <c r="A27" s="93">
        <v>24</v>
      </c>
      <c r="B27" s="48"/>
      <c r="C27" s="48"/>
      <c r="D27" s="119"/>
      <c r="E27" s="119"/>
      <c r="F27" s="120">
        <v>0</v>
      </c>
      <c r="G27" s="120">
        <v>0</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0">
        <v>0</v>
      </c>
      <c r="Y27" s="120">
        <v>0</v>
      </c>
      <c r="Z27" s="120">
        <v>0</v>
      </c>
      <c r="AA27" s="120">
        <v>0</v>
      </c>
      <c r="AB27" s="120">
        <v>0</v>
      </c>
      <c r="AC27" s="26"/>
      <c r="AD27" s="26"/>
    </row>
    <row r="28" spans="1:30" ht="26.1" customHeight="1" x14ac:dyDescent="0.3">
      <c r="A28" s="93">
        <v>25</v>
      </c>
      <c r="B28" s="108"/>
      <c r="C28" s="110" t="s">
        <v>6</v>
      </c>
      <c r="D28" s="110"/>
      <c r="E28" s="48"/>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26"/>
      <c r="AD28" s="26"/>
    </row>
    <row r="29" spans="1:30" ht="18" customHeight="1" x14ac:dyDescent="0.25">
      <c r="A29" s="93">
        <v>26</v>
      </c>
      <c r="B29" s="48"/>
      <c r="C29" s="48"/>
      <c r="D29" s="112" t="s">
        <v>13</v>
      </c>
      <c r="E29" s="112" t="s">
        <v>35</v>
      </c>
      <c r="F29" s="113">
        <f>F30+F31+F35+F36</f>
        <v>65.985679477065077</v>
      </c>
      <c r="G29" s="113">
        <f t="shared" ref="G29" si="46">G30+G31+G35+G36</f>
        <v>-71.127789200908197</v>
      </c>
      <c r="H29" s="113">
        <f t="shared" ref="H29" si="47">H30+H31+H35+H36</f>
        <v>-81.207696108945512</v>
      </c>
      <c r="I29" s="113">
        <f t="shared" ref="I29" si="48">I30+I31+I35+I36</f>
        <v>-70.220047935561979</v>
      </c>
      <c r="J29" s="113">
        <f t="shared" ref="J29" si="49">J30+J31+J35+J36</f>
        <v>-7.2168155586303708</v>
      </c>
      <c r="K29" s="113">
        <f t="shared" ref="K29" si="50">K30+K31+K35+K36</f>
        <v>6.1268094252472096</v>
      </c>
      <c r="L29" s="113">
        <f t="shared" ref="L29" si="51">L30+L31+L35+L36</f>
        <v>33.135537797016326</v>
      </c>
      <c r="M29" s="113">
        <f t="shared" ref="M29" si="52">M30+M31+M35+M36</f>
        <v>-45.526683964263356</v>
      </c>
      <c r="N29" s="113">
        <f t="shared" ref="N29" si="53">N30+N31+N35+N36</f>
        <v>70.590574010147392</v>
      </c>
      <c r="O29" s="113">
        <f t="shared" ref="O29" si="54">O30+O31+O35+O36</f>
        <v>86.317825786791346</v>
      </c>
      <c r="P29" s="113">
        <f t="shared" ref="P29" si="55">P30+P31+P35+P36</f>
        <v>-283.61837667801342</v>
      </c>
      <c r="Q29" s="113">
        <f t="shared" ref="Q29" si="56">Q30+Q31+Q35+Q36</f>
        <v>-46.057936757481855</v>
      </c>
      <c r="R29" s="113">
        <f t="shared" ref="R29" si="57">R30+R31+R35+R36</f>
        <v>54.383307918224553</v>
      </c>
      <c r="S29" s="113">
        <f t="shared" ref="S29" si="58">S30+S31+S35+S36</f>
        <v>75.198229242518167</v>
      </c>
      <c r="T29" s="113">
        <f t="shared" ref="T29" si="59">T30+T31+T35+T36</f>
        <v>-31.710352050719564</v>
      </c>
      <c r="U29" s="113">
        <f t="shared" ref="U29" si="60">U30+U31+U35+U36</f>
        <v>-0.34337755485104005</v>
      </c>
      <c r="V29" s="113">
        <f t="shared" ref="V29" si="61">V30+V31+V35+V36</f>
        <v>15.730160571795526</v>
      </c>
      <c r="W29" s="113">
        <f t="shared" ref="W29:X29" si="62">W30+W31+W35+W36</f>
        <v>23.798796593424008</v>
      </c>
      <c r="X29" s="113">
        <f t="shared" si="62"/>
        <v>-3.1166962260949398</v>
      </c>
      <c r="Y29" s="113">
        <f t="shared" ref="Y29:Z29" si="63">Y30+Y31+Y35+Y36</f>
        <v>-34.611781817571426</v>
      </c>
      <c r="Z29" s="113">
        <f t="shared" si="63"/>
        <v>7.8346677485712624</v>
      </c>
      <c r="AA29" s="113">
        <f t="shared" ref="AA29:AB29" si="64">AA30+AA31+AA35+AA36</f>
        <v>-42.099203601643822</v>
      </c>
      <c r="AB29" s="113">
        <f t="shared" si="64"/>
        <v>-69.749793686517293</v>
      </c>
      <c r="AC29" s="26"/>
      <c r="AD29" s="26"/>
    </row>
    <row r="30" spans="1:30" x14ac:dyDescent="0.25">
      <c r="A30" s="93">
        <v>27</v>
      </c>
      <c r="B30" s="48"/>
      <c r="C30" s="48"/>
      <c r="D30" s="114" t="s">
        <v>14</v>
      </c>
      <c r="E30" s="114" t="s">
        <v>23</v>
      </c>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26"/>
      <c r="AD30" s="26"/>
    </row>
    <row r="31" spans="1:30" x14ac:dyDescent="0.25">
      <c r="A31" s="93">
        <v>28</v>
      </c>
      <c r="B31" s="48"/>
      <c r="C31" s="48"/>
      <c r="D31" s="114" t="s">
        <v>15</v>
      </c>
      <c r="E31" s="114" t="s">
        <v>0</v>
      </c>
      <c r="F31" s="116">
        <f>SUM(F32:F34)</f>
        <v>65.985679477065077</v>
      </c>
      <c r="G31" s="116">
        <f t="shared" ref="G31" si="65">SUM(G32:G34)</f>
        <v>-71.127789200908197</v>
      </c>
      <c r="H31" s="116">
        <f t="shared" ref="H31" si="66">SUM(H32:H34)</f>
        <v>-81.207696108945512</v>
      </c>
      <c r="I31" s="116">
        <f t="shared" ref="I31" si="67">SUM(I32:I34)</f>
        <v>-70.220047935561979</v>
      </c>
      <c r="J31" s="116">
        <f t="shared" ref="J31" si="68">SUM(J32:J34)</f>
        <v>-7.2168155586303708</v>
      </c>
      <c r="K31" s="116">
        <f t="shared" ref="K31" si="69">SUM(K32:K34)</f>
        <v>6.1268094252472096</v>
      </c>
      <c r="L31" s="116">
        <f t="shared" ref="L31" si="70">SUM(L32:L34)</f>
        <v>33.135537797016326</v>
      </c>
      <c r="M31" s="116">
        <f t="shared" ref="M31" si="71">SUM(M32:M34)</f>
        <v>-45.526683964263356</v>
      </c>
      <c r="N31" s="116">
        <f t="shared" ref="N31" si="72">SUM(N32:N34)</f>
        <v>70.590574010147392</v>
      </c>
      <c r="O31" s="116">
        <f t="shared" ref="O31" si="73">SUM(O32:O34)</f>
        <v>86.317825786791346</v>
      </c>
      <c r="P31" s="116">
        <f t="shared" ref="P31" si="74">SUM(P32:P34)</f>
        <v>-283.61837667801342</v>
      </c>
      <c r="Q31" s="116">
        <f t="shared" ref="Q31" si="75">SUM(Q32:Q34)</f>
        <v>-46.057936757481855</v>
      </c>
      <c r="R31" s="116">
        <f t="shared" ref="R31" si="76">SUM(R32:R34)</f>
        <v>54.383307918224553</v>
      </c>
      <c r="S31" s="116">
        <f t="shared" ref="S31" si="77">SUM(S32:S34)</f>
        <v>75.198229242518167</v>
      </c>
      <c r="T31" s="116">
        <f t="shared" ref="T31" si="78">SUM(T32:T34)</f>
        <v>-31.710352050719564</v>
      </c>
      <c r="U31" s="116">
        <f t="shared" ref="U31" si="79">SUM(U32:U34)</f>
        <v>-0.34337755485104005</v>
      </c>
      <c r="V31" s="116">
        <f t="shared" ref="V31" si="80">SUM(V32:V34)</f>
        <v>15.730160571795526</v>
      </c>
      <c r="W31" s="116">
        <f t="shared" ref="W31:X31" si="81">SUM(W32:W34)</f>
        <v>23.798796593424008</v>
      </c>
      <c r="X31" s="116">
        <f t="shared" si="81"/>
        <v>-3.1166962260949398</v>
      </c>
      <c r="Y31" s="116">
        <f t="shared" ref="Y31:Z31" si="82">SUM(Y32:Y34)</f>
        <v>-34.611781817571426</v>
      </c>
      <c r="Z31" s="116">
        <f t="shared" si="82"/>
        <v>7.8346677485712624</v>
      </c>
      <c r="AA31" s="116">
        <f t="shared" ref="AA31:AB31" si="83">SUM(AA32:AA34)</f>
        <v>-42.099203601643822</v>
      </c>
      <c r="AB31" s="116">
        <f t="shared" si="83"/>
        <v>-69.749793686517293</v>
      </c>
      <c r="AC31" s="26"/>
      <c r="AD31" s="26"/>
    </row>
    <row r="32" spans="1:30" x14ac:dyDescent="0.25">
      <c r="A32" s="93">
        <v>29</v>
      </c>
      <c r="B32" s="48"/>
      <c r="C32" s="48"/>
      <c r="D32" s="117" t="s">
        <v>26</v>
      </c>
      <c r="E32" s="117" t="s">
        <v>25</v>
      </c>
      <c r="F32" s="118">
        <v>1.164582000000002</v>
      </c>
      <c r="G32" s="118">
        <v>0.59228199999999909</v>
      </c>
      <c r="H32" s="118">
        <v>-0.3714220000000017</v>
      </c>
      <c r="I32" s="118">
        <v>-2.8542309999999986</v>
      </c>
      <c r="J32" s="118">
        <v>0.60765500000000117</v>
      </c>
      <c r="K32" s="118">
        <v>1.2331789999999998</v>
      </c>
      <c r="L32" s="118">
        <v>-0.84804200000000041</v>
      </c>
      <c r="M32" s="118">
        <v>-1.1745000000002115E-2</v>
      </c>
      <c r="N32" s="118">
        <v>-0.1811600000000011</v>
      </c>
      <c r="O32" s="118">
        <v>1.0987570000000035</v>
      </c>
      <c r="P32" s="118">
        <v>0.73308699999999849</v>
      </c>
      <c r="Q32" s="118">
        <v>0.47401999999999855</v>
      </c>
      <c r="R32" s="118">
        <v>2.4627960000000018</v>
      </c>
      <c r="S32" s="118">
        <v>2.8674509999999991</v>
      </c>
      <c r="T32" s="118">
        <v>-0.69601399999999725</v>
      </c>
      <c r="U32" s="118">
        <v>0.38025599999999748</v>
      </c>
      <c r="V32" s="118">
        <v>-1.5030460000000003</v>
      </c>
      <c r="W32" s="118">
        <v>0.91808100000000525</v>
      </c>
      <c r="X32" s="118">
        <v>-2.8923390000000069</v>
      </c>
      <c r="Y32" s="118">
        <v>-1.023934999999998</v>
      </c>
      <c r="Z32" s="118">
        <v>0.57456499999999888</v>
      </c>
      <c r="AA32" s="118">
        <v>1.6694430000000038</v>
      </c>
      <c r="AB32" s="118">
        <v>-0.82535700000000034</v>
      </c>
      <c r="AC32" s="26"/>
      <c r="AD32" s="26"/>
    </row>
    <row r="33" spans="1:30" x14ac:dyDescent="0.25">
      <c r="A33" s="93">
        <v>30</v>
      </c>
      <c r="B33" s="48"/>
      <c r="C33" s="48"/>
      <c r="D33" s="117" t="s">
        <v>16</v>
      </c>
      <c r="E33" s="117" t="s">
        <v>27</v>
      </c>
      <c r="F33" s="118">
        <v>64.821097477065081</v>
      </c>
      <c r="G33" s="118">
        <v>-71.720071200908194</v>
      </c>
      <c r="H33" s="118">
        <v>-80.836274108945517</v>
      </c>
      <c r="I33" s="118">
        <v>-67.36581693556198</v>
      </c>
      <c r="J33" s="118">
        <v>-7.824470558630372</v>
      </c>
      <c r="K33" s="118">
        <v>4.8936304252472098</v>
      </c>
      <c r="L33" s="118">
        <v>33.983579797016326</v>
      </c>
      <c r="M33" s="118">
        <v>-45.514938964263351</v>
      </c>
      <c r="N33" s="118">
        <v>70.771734010147398</v>
      </c>
      <c r="O33" s="118">
        <v>85.21906878679134</v>
      </c>
      <c r="P33" s="118">
        <v>-284.35146367801343</v>
      </c>
      <c r="Q33" s="118">
        <v>-46.531956757481851</v>
      </c>
      <c r="R33" s="118">
        <v>51.920511918224548</v>
      </c>
      <c r="S33" s="118">
        <v>72.330778242518164</v>
      </c>
      <c r="T33" s="118">
        <v>-31.014338050719566</v>
      </c>
      <c r="U33" s="118">
        <v>-0.72363355485103753</v>
      </c>
      <c r="V33" s="118">
        <v>17.233206571795527</v>
      </c>
      <c r="W33" s="118">
        <v>22.880715593424004</v>
      </c>
      <c r="X33" s="118">
        <v>-0.22435722609493292</v>
      </c>
      <c r="Y33" s="118">
        <v>-33.587846817571425</v>
      </c>
      <c r="Z33" s="118">
        <v>7.2601027485712635</v>
      </c>
      <c r="AA33" s="118">
        <v>-43.768646601643823</v>
      </c>
      <c r="AB33" s="118">
        <v>-68.924436686517296</v>
      </c>
      <c r="AC33" s="26"/>
      <c r="AD33" s="26"/>
    </row>
    <row r="34" spans="1:30" x14ac:dyDescent="0.25">
      <c r="A34" s="93">
        <v>31</v>
      </c>
      <c r="B34" s="48"/>
      <c r="C34" s="48"/>
      <c r="D34" s="117" t="s">
        <v>17</v>
      </c>
      <c r="E34" s="117" t="s">
        <v>28</v>
      </c>
      <c r="F34" s="118">
        <v>0</v>
      </c>
      <c r="G34" s="118">
        <v>0</v>
      </c>
      <c r="H34" s="118">
        <v>0</v>
      </c>
      <c r="I34" s="118">
        <v>0</v>
      </c>
      <c r="J34" s="118">
        <v>0</v>
      </c>
      <c r="K34" s="118">
        <v>0</v>
      </c>
      <c r="L34" s="118">
        <v>0</v>
      </c>
      <c r="M34" s="118">
        <v>0</v>
      </c>
      <c r="N34" s="118">
        <v>0</v>
      </c>
      <c r="O34" s="118">
        <v>0</v>
      </c>
      <c r="P34" s="118">
        <v>0</v>
      </c>
      <c r="Q34" s="118">
        <v>0</v>
      </c>
      <c r="R34" s="118">
        <v>0</v>
      </c>
      <c r="S34" s="118">
        <v>0</v>
      </c>
      <c r="T34" s="118">
        <v>0</v>
      </c>
      <c r="U34" s="118">
        <v>0</v>
      </c>
      <c r="V34" s="118">
        <v>0</v>
      </c>
      <c r="W34" s="118">
        <v>0</v>
      </c>
      <c r="X34" s="118">
        <v>0</v>
      </c>
      <c r="Y34" s="118">
        <v>0</v>
      </c>
      <c r="Z34" s="118">
        <v>0</v>
      </c>
      <c r="AA34" s="118">
        <v>0</v>
      </c>
      <c r="AB34" s="118">
        <v>0</v>
      </c>
      <c r="AC34" s="26"/>
      <c r="AD34" s="26"/>
    </row>
    <row r="35" spans="1:30" x14ac:dyDescent="0.25">
      <c r="A35" s="93">
        <v>32</v>
      </c>
      <c r="B35" s="48"/>
      <c r="C35" s="48"/>
      <c r="D35" s="114" t="s">
        <v>1</v>
      </c>
      <c r="E35" s="114" t="s">
        <v>29</v>
      </c>
      <c r="F35" s="116">
        <v>0</v>
      </c>
      <c r="G35" s="116">
        <v>0</v>
      </c>
      <c r="H35" s="116">
        <v>0</v>
      </c>
      <c r="I35" s="116">
        <v>0</v>
      </c>
      <c r="J35" s="116">
        <v>0</v>
      </c>
      <c r="K35" s="116">
        <v>0</v>
      </c>
      <c r="L35" s="116">
        <v>0</v>
      </c>
      <c r="M35" s="116">
        <v>0</v>
      </c>
      <c r="N35" s="116">
        <v>0</v>
      </c>
      <c r="O35" s="116">
        <v>0</v>
      </c>
      <c r="P35" s="116">
        <v>0</v>
      </c>
      <c r="Q35" s="116">
        <v>0</v>
      </c>
      <c r="R35" s="116">
        <v>0</v>
      </c>
      <c r="S35" s="116">
        <v>0</v>
      </c>
      <c r="T35" s="116">
        <v>0</v>
      </c>
      <c r="U35" s="116">
        <v>0</v>
      </c>
      <c r="V35" s="116">
        <v>0</v>
      </c>
      <c r="W35" s="116">
        <v>0</v>
      </c>
      <c r="X35" s="116">
        <v>0</v>
      </c>
      <c r="Y35" s="116">
        <v>0</v>
      </c>
      <c r="Z35" s="116">
        <v>0</v>
      </c>
      <c r="AA35" s="116">
        <v>0</v>
      </c>
      <c r="AB35" s="116">
        <v>0</v>
      </c>
      <c r="AC35" s="26"/>
      <c r="AD35" s="26"/>
    </row>
    <row r="36" spans="1:30" x14ac:dyDescent="0.25">
      <c r="A36" s="93">
        <v>33</v>
      </c>
      <c r="B36" s="48"/>
      <c r="C36" s="48"/>
      <c r="D36" s="114" t="s">
        <v>30</v>
      </c>
      <c r="E36" s="114" t="s">
        <v>31</v>
      </c>
      <c r="F36" s="116">
        <v>0</v>
      </c>
      <c r="G36" s="116">
        <v>0</v>
      </c>
      <c r="H36" s="116">
        <v>0</v>
      </c>
      <c r="I36" s="116">
        <v>0</v>
      </c>
      <c r="J36" s="116">
        <v>0</v>
      </c>
      <c r="K36" s="116">
        <v>0</v>
      </c>
      <c r="L36" s="116">
        <v>0</v>
      </c>
      <c r="M36" s="116">
        <v>0</v>
      </c>
      <c r="N36" s="116">
        <v>0</v>
      </c>
      <c r="O36" s="116">
        <v>0</v>
      </c>
      <c r="P36" s="116">
        <v>0</v>
      </c>
      <c r="Q36" s="116">
        <v>0</v>
      </c>
      <c r="R36" s="116">
        <v>0</v>
      </c>
      <c r="S36" s="116">
        <v>0</v>
      </c>
      <c r="T36" s="116">
        <v>0</v>
      </c>
      <c r="U36" s="116">
        <v>0</v>
      </c>
      <c r="V36" s="116">
        <v>0</v>
      </c>
      <c r="W36" s="116">
        <v>0</v>
      </c>
      <c r="X36" s="116">
        <v>0</v>
      </c>
      <c r="Y36" s="116">
        <v>0</v>
      </c>
      <c r="Z36" s="116">
        <v>0</v>
      </c>
      <c r="AA36" s="116">
        <v>0</v>
      </c>
      <c r="AB36" s="116">
        <v>0</v>
      </c>
      <c r="AC36" s="26"/>
      <c r="AD36" s="26"/>
    </row>
    <row r="37" spans="1:30" ht="15.75" x14ac:dyDescent="0.25">
      <c r="A37" s="93">
        <v>34</v>
      </c>
      <c r="B37" s="48"/>
      <c r="C37" s="48"/>
      <c r="D37" s="112" t="s">
        <v>19</v>
      </c>
      <c r="E37" s="112" t="s">
        <v>22</v>
      </c>
      <c r="F37" s="113">
        <v>112.22497120879117</v>
      </c>
      <c r="G37" s="113">
        <v>-57.904814989011001</v>
      </c>
      <c r="H37" s="113">
        <v>128.88313679347826</v>
      </c>
      <c r="I37" s="113">
        <v>249.95797334782611</v>
      </c>
      <c r="J37" s="113">
        <v>103.90499459999999</v>
      </c>
      <c r="K37" s="113">
        <v>-336.7518224175821</v>
      </c>
      <c r="L37" s="113">
        <v>-19.584576956521751</v>
      </c>
      <c r="M37" s="113">
        <v>133.58665650000006</v>
      </c>
      <c r="N37" s="113">
        <v>-345.96501297777769</v>
      </c>
      <c r="O37" s="113">
        <v>309.12513940659346</v>
      </c>
      <c r="P37" s="113">
        <v>937.42971069565169</v>
      </c>
      <c r="Q37" s="113">
        <v>847.67282608695689</v>
      </c>
      <c r="R37" s="113">
        <v>-531.09049868419947</v>
      </c>
      <c r="S37" s="113">
        <v>702.5551874323387</v>
      </c>
      <c r="T37" s="113">
        <v>-1291.7204684359128</v>
      </c>
      <c r="U37" s="113">
        <v>584.59717078829999</v>
      </c>
      <c r="V37" s="113">
        <v>375.97964458213124</v>
      </c>
      <c r="W37" s="113">
        <v>108.0680062776805</v>
      </c>
      <c r="X37" s="113">
        <v>65.237988911054643</v>
      </c>
      <c r="Y37" s="113">
        <v>-437.89642628121885</v>
      </c>
      <c r="Z37" s="113">
        <v>-318.76550018193109</v>
      </c>
      <c r="AA37" s="113">
        <v>23.003312873118816</v>
      </c>
      <c r="AB37" s="113">
        <v>1656.8222970403608</v>
      </c>
      <c r="AC37" s="26"/>
      <c r="AD37" s="26"/>
    </row>
    <row r="38" spans="1:30" ht="9" customHeight="1" x14ac:dyDescent="0.25">
      <c r="A38" s="93">
        <v>35</v>
      </c>
      <c r="B38" s="48"/>
      <c r="C38" s="48"/>
      <c r="D38" s="119"/>
      <c r="E38" s="119"/>
      <c r="F38" s="120">
        <v>0</v>
      </c>
      <c r="G38" s="120">
        <v>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0">
        <v>0</v>
      </c>
      <c r="Y38" s="120">
        <v>0</v>
      </c>
      <c r="Z38" s="120">
        <v>0</v>
      </c>
      <c r="AA38" s="120">
        <v>0</v>
      </c>
      <c r="AB38" s="120">
        <v>0</v>
      </c>
      <c r="AC38" s="26"/>
      <c r="AD38" s="26"/>
    </row>
    <row r="39" spans="1:30" ht="26.1" customHeight="1" x14ac:dyDescent="0.3">
      <c r="A39" s="93">
        <v>36</v>
      </c>
      <c r="B39" s="108"/>
      <c r="C39" s="110" t="s">
        <v>24</v>
      </c>
      <c r="D39" s="110"/>
      <c r="E39" s="48"/>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26"/>
      <c r="AD39" s="26"/>
    </row>
    <row r="40" spans="1:30" ht="18" customHeight="1" x14ac:dyDescent="0.25">
      <c r="A40" s="93">
        <v>37</v>
      </c>
      <c r="B40" s="48"/>
      <c r="C40" s="48"/>
      <c r="D40" s="112" t="s">
        <v>13</v>
      </c>
      <c r="E40" s="112" t="s">
        <v>35</v>
      </c>
      <c r="F40" s="113">
        <f>F41+F42+F46+F47</f>
        <v>-119.64540488476273</v>
      </c>
      <c r="G40" s="113">
        <f t="shared" ref="G40" si="84">G41+G42+G46+G47</f>
        <v>16.581520714214626</v>
      </c>
      <c r="H40" s="113">
        <f t="shared" ref="H40" si="85">H41+H42+H46+H47</f>
        <v>-3.9182477167123437</v>
      </c>
      <c r="I40" s="113">
        <f t="shared" ref="I40" si="86">I41+I42+I46+I47</f>
        <v>39.688616811849911</v>
      </c>
      <c r="J40" s="113">
        <f t="shared" ref="J40" si="87">J41+J42+J46+J47</f>
        <v>-23.097984886307245</v>
      </c>
      <c r="K40" s="113">
        <f t="shared" ref="K40" si="88">K41+K42+K46+K47</f>
        <v>2.8046693963861173</v>
      </c>
      <c r="L40" s="113">
        <f t="shared" ref="L40" si="89">L41+L42+L46+L47</f>
        <v>-2.7094713669630295</v>
      </c>
      <c r="M40" s="113">
        <f t="shared" ref="M40" si="90">M41+M42+M46+M47</f>
        <v>-11.224533943026955</v>
      </c>
      <c r="N40" s="113">
        <f t="shared" ref="N40" si="91">N41+N42+N46+N47</f>
        <v>-30.52190336551962</v>
      </c>
      <c r="O40" s="113">
        <f t="shared" ref="O40" si="92">O41+O42+O46+O47</f>
        <v>2.1394034544283755</v>
      </c>
      <c r="P40" s="113">
        <f t="shared" ref="P40" si="93">P41+P42+P46+P47</f>
        <v>8.1363739089714358</v>
      </c>
      <c r="Q40" s="113">
        <f t="shared" ref="Q40" si="94">Q41+Q42+Q46+Q47</f>
        <v>-16.804653623547324</v>
      </c>
      <c r="R40" s="113">
        <f t="shared" ref="R40" si="95">R41+R42+R46+R47</f>
        <v>7.948609803004544</v>
      </c>
      <c r="S40" s="113">
        <f t="shared" ref="S40" si="96">S41+S42+S46+S47</f>
        <v>0.52712498828832111</v>
      </c>
      <c r="T40" s="113">
        <f t="shared" ref="T40" si="97">T41+T42+T46+T47</f>
        <v>4.1121941112180451</v>
      </c>
      <c r="U40" s="113">
        <f t="shared" ref="U40" si="98">U41+U42+U46+U47</f>
        <v>-3.3456463360711126</v>
      </c>
      <c r="V40" s="113">
        <f t="shared" ref="V40" si="99">V41+V42+V46+V47</f>
        <v>731.5639451730998</v>
      </c>
      <c r="W40" s="113">
        <f t="shared" ref="W40:X40" si="100">W41+W42+W46+W47</f>
        <v>-4.240096147138118</v>
      </c>
      <c r="X40" s="113">
        <f t="shared" si="100"/>
        <v>-2.0981099561272174</v>
      </c>
      <c r="Y40" s="113">
        <f t="shared" ref="Y40:Z40" si="101">Y41+Y42+Y46+Y47</f>
        <v>-1.6213805117369162</v>
      </c>
      <c r="Z40" s="113">
        <f t="shared" si="101"/>
        <v>-728.95819374381426</v>
      </c>
      <c r="AA40" s="113">
        <f t="shared" ref="AA40:AB40" si="102">AA41+AA42+AA46+AA47</f>
        <v>1.2706398715204443</v>
      </c>
      <c r="AB40" s="113">
        <f t="shared" si="102"/>
        <v>-0.69869476316534929</v>
      </c>
      <c r="AC40" s="26"/>
      <c r="AD40" s="26"/>
    </row>
    <row r="41" spans="1:30" x14ac:dyDescent="0.25">
      <c r="A41" s="93">
        <v>38</v>
      </c>
      <c r="B41" s="48"/>
      <c r="C41" s="48"/>
      <c r="D41" s="114" t="s">
        <v>14</v>
      </c>
      <c r="E41" s="114" t="s">
        <v>23</v>
      </c>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26"/>
      <c r="AD41" s="26"/>
    </row>
    <row r="42" spans="1:30" x14ac:dyDescent="0.25">
      <c r="A42" s="93">
        <v>39</v>
      </c>
      <c r="B42" s="48"/>
      <c r="C42" s="48"/>
      <c r="D42" s="114" t="s">
        <v>15</v>
      </c>
      <c r="E42" s="114" t="s">
        <v>0</v>
      </c>
      <c r="F42" s="116">
        <f>SUM(F43:F45)</f>
        <v>-119.64540488476273</v>
      </c>
      <c r="G42" s="116">
        <f t="shared" ref="G42" si="103">SUM(G43:G45)</f>
        <v>16.581520714214626</v>
      </c>
      <c r="H42" s="116">
        <f t="shared" ref="H42" si="104">SUM(H43:H45)</f>
        <v>-3.9182477167123437</v>
      </c>
      <c r="I42" s="116">
        <f t="shared" ref="I42" si="105">SUM(I43:I45)</f>
        <v>39.688616811849911</v>
      </c>
      <c r="J42" s="116">
        <f t="shared" ref="J42" si="106">SUM(J43:J45)</f>
        <v>-23.097984886307245</v>
      </c>
      <c r="K42" s="116">
        <f t="shared" ref="K42" si="107">SUM(K43:K45)</f>
        <v>2.8046693963861173</v>
      </c>
      <c r="L42" s="116">
        <f t="shared" ref="L42" si="108">SUM(L43:L45)</f>
        <v>-2.7094713669630295</v>
      </c>
      <c r="M42" s="116">
        <f t="shared" ref="M42" si="109">SUM(M43:M45)</f>
        <v>-11.224533943026955</v>
      </c>
      <c r="N42" s="116">
        <f t="shared" ref="N42" si="110">SUM(N43:N45)</f>
        <v>-30.52190336551962</v>
      </c>
      <c r="O42" s="116">
        <f t="shared" ref="O42" si="111">SUM(O43:O45)</f>
        <v>2.1394034544283755</v>
      </c>
      <c r="P42" s="116">
        <f t="shared" ref="P42" si="112">SUM(P43:P45)</f>
        <v>8.1363739089714358</v>
      </c>
      <c r="Q42" s="116">
        <f t="shared" ref="Q42" si="113">SUM(Q43:Q45)</f>
        <v>-16.804653623547324</v>
      </c>
      <c r="R42" s="116">
        <f t="shared" ref="R42" si="114">SUM(R43:R45)</f>
        <v>7.948609803004544</v>
      </c>
      <c r="S42" s="116">
        <f t="shared" ref="S42" si="115">SUM(S43:S45)</f>
        <v>0.52712498828832111</v>
      </c>
      <c r="T42" s="116">
        <f t="shared" ref="T42" si="116">SUM(T43:T45)</f>
        <v>4.1121941112180451</v>
      </c>
      <c r="U42" s="116">
        <f t="shared" ref="U42" si="117">SUM(U43:U45)</f>
        <v>-3.3456463360711126</v>
      </c>
      <c r="V42" s="116">
        <f t="shared" ref="V42" si="118">SUM(V43:V45)</f>
        <v>731.5639451730998</v>
      </c>
      <c r="W42" s="116">
        <f t="shared" ref="W42:X42" si="119">SUM(W43:W45)</f>
        <v>-4.240096147138118</v>
      </c>
      <c r="X42" s="116">
        <f t="shared" si="119"/>
        <v>-2.0981099561272174</v>
      </c>
      <c r="Y42" s="116">
        <f t="shared" ref="Y42:Z42" si="120">SUM(Y43:Y45)</f>
        <v>-1.6213805117369162</v>
      </c>
      <c r="Z42" s="116">
        <f t="shared" si="120"/>
        <v>-728.95819374381426</v>
      </c>
      <c r="AA42" s="116">
        <f t="shared" ref="AA42:AB42" si="121">SUM(AA43:AA45)</f>
        <v>1.2706398715204443</v>
      </c>
      <c r="AB42" s="116">
        <f t="shared" si="121"/>
        <v>-0.69869476316534929</v>
      </c>
      <c r="AC42" s="26"/>
      <c r="AD42" s="26"/>
    </row>
    <row r="43" spans="1:30" x14ac:dyDescent="0.25">
      <c r="A43" s="93">
        <v>40</v>
      </c>
      <c r="B43" s="48"/>
      <c r="C43" s="48"/>
      <c r="D43" s="117" t="s">
        <v>26</v>
      </c>
      <c r="E43" s="117" t="s">
        <v>25</v>
      </c>
      <c r="F43" s="118">
        <v>-82.321994620000027</v>
      </c>
      <c r="G43" s="118">
        <v>0</v>
      </c>
      <c r="H43" s="118">
        <v>-8.7829477800000006</v>
      </c>
      <c r="I43" s="118">
        <v>6.5705093799999901</v>
      </c>
      <c r="J43" s="118">
        <v>-0.57979011999996999</v>
      </c>
      <c r="K43" s="118">
        <v>-4.9677940000009357E-2</v>
      </c>
      <c r="L43" s="118">
        <v>-3.9453099399999729</v>
      </c>
      <c r="M43" s="118">
        <v>-2.4455142400000511</v>
      </c>
      <c r="N43" s="118">
        <v>-26.617772700000017</v>
      </c>
      <c r="O43" s="118">
        <v>-2.0113554400000027</v>
      </c>
      <c r="P43" s="118">
        <v>0.41216145999999299</v>
      </c>
      <c r="Q43" s="118">
        <v>2.9826158200000634</v>
      </c>
      <c r="R43" s="118">
        <v>5.6461859199999651</v>
      </c>
      <c r="S43" s="118">
        <v>0</v>
      </c>
      <c r="T43" s="118">
        <v>-0.23389920000008146</v>
      </c>
      <c r="U43" s="118">
        <v>-0.11250245500001199</v>
      </c>
      <c r="V43" s="118">
        <v>728.15511448074005</v>
      </c>
      <c r="W43" s="118">
        <v>0</v>
      </c>
      <c r="X43" s="118">
        <v>0.316589150860068</v>
      </c>
      <c r="Y43" s="118">
        <v>1.5860023519400102</v>
      </c>
      <c r="Z43" s="118">
        <v>-728.00280463141996</v>
      </c>
      <c r="AA43" s="118">
        <v>8.4899725900001499E-2</v>
      </c>
      <c r="AB43" s="118">
        <v>0.50260576729998263</v>
      </c>
      <c r="AC43" s="26"/>
      <c r="AD43" s="26"/>
    </row>
    <row r="44" spans="1:30" x14ac:dyDescent="0.25">
      <c r="A44" s="93">
        <v>41</v>
      </c>
      <c r="B44" s="48"/>
      <c r="C44" s="48"/>
      <c r="D44" s="117" t="s">
        <v>16</v>
      </c>
      <c r="E44" s="117" t="s">
        <v>27</v>
      </c>
      <c r="F44" s="118">
        <v>5.9715521147388273</v>
      </c>
      <c r="G44" s="118">
        <v>12.034136659841899</v>
      </c>
      <c r="H44" s="118">
        <v>5.0753657913253249</v>
      </c>
      <c r="I44" s="118">
        <v>21.729702477256339</v>
      </c>
      <c r="J44" s="118">
        <v>2.0079950334042564</v>
      </c>
      <c r="K44" s="118">
        <v>4.5869352224000295</v>
      </c>
      <c r="L44" s="118">
        <v>3.8175112074237205</v>
      </c>
      <c r="M44" s="118">
        <v>1.0286910276631289</v>
      </c>
      <c r="N44" s="118">
        <v>-3.9041306655196024</v>
      </c>
      <c r="O44" s="118">
        <v>-4.2948175834889923</v>
      </c>
      <c r="P44" s="118">
        <v>5.2604155687004521</v>
      </c>
      <c r="Q44" s="118">
        <v>4.0003417682141844</v>
      </c>
      <c r="R44" s="118">
        <v>-4.0607194012411298</v>
      </c>
      <c r="S44" s="118">
        <v>-0.30189485154394902</v>
      </c>
      <c r="T44" s="118">
        <v>-1.0195258712169277</v>
      </c>
      <c r="U44" s="118">
        <v>-3.3336329303508734</v>
      </c>
      <c r="V44" s="118">
        <v>5.1538578667858133</v>
      </c>
      <c r="W44" s="118">
        <v>-4.4373674856504977</v>
      </c>
      <c r="X44" s="118">
        <v>-6.357480606650455</v>
      </c>
      <c r="Y44" s="118">
        <v>-3.2261356254238791</v>
      </c>
      <c r="Z44" s="118">
        <v>0.10204836107199355</v>
      </c>
      <c r="AA44" s="118">
        <v>-8.1627503583376892E-3</v>
      </c>
      <c r="AB44" s="118">
        <v>-1.9809632128921777</v>
      </c>
      <c r="AC44" s="26"/>
      <c r="AD44" s="26"/>
    </row>
    <row r="45" spans="1:30" x14ac:dyDescent="0.25">
      <c r="A45" s="93">
        <v>42</v>
      </c>
      <c r="B45" s="48"/>
      <c r="C45" s="48"/>
      <c r="D45" s="117" t="s">
        <v>17</v>
      </c>
      <c r="E45" s="117" t="s">
        <v>28</v>
      </c>
      <c r="F45" s="118">
        <v>-43.294962379501527</v>
      </c>
      <c r="G45" s="118">
        <v>4.5473840543727277</v>
      </c>
      <c r="H45" s="118">
        <v>-0.21066572803766803</v>
      </c>
      <c r="I45" s="118">
        <v>11.388404954593582</v>
      </c>
      <c r="J45" s="118">
        <v>-24.526189799711531</v>
      </c>
      <c r="K45" s="118">
        <v>-1.7325878860139028</v>
      </c>
      <c r="L45" s="118">
        <v>-2.5816726343867771</v>
      </c>
      <c r="M45" s="118">
        <v>-9.8077107306900331</v>
      </c>
      <c r="N45" s="118">
        <v>0</v>
      </c>
      <c r="O45" s="118">
        <v>8.4455764779173705</v>
      </c>
      <c r="P45" s="118">
        <v>2.4637968802709906</v>
      </c>
      <c r="Q45" s="118">
        <v>-23.787611211761572</v>
      </c>
      <c r="R45" s="118">
        <v>6.3631432842457087</v>
      </c>
      <c r="S45" s="118">
        <v>0.82901983983227012</v>
      </c>
      <c r="T45" s="118">
        <v>5.3656191824350543</v>
      </c>
      <c r="U45" s="118">
        <v>0.10048904927977276</v>
      </c>
      <c r="V45" s="118">
        <v>-1.7450271744260988</v>
      </c>
      <c r="W45" s="118">
        <v>0.19727133851237966</v>
      </c>
      <c r="X45" s="118">
        <v>3.9427814996631696</v>
      </c>
      <c r="Y45" s="118">
        <v>1.8752761746952729E-2</v>
      </c>
      <c r="Z45" s="118">
        <v>-1.0574374734662939</v>
      </c>
      <c r="AA45" s="118">
        <v>1.1939028959787805</v>
      </c>
      <c r="AB45" s="118">
        <v>0.77966268242684578</v>
      </c>
      <c r="AC45" s="26"/>
      <c r="AD45" s="26"/>
    </row>
    <row r="46" spans="1:30" x14ac:dyDescent="0.25">
      <c r="A46" s="93">
        <v>43</v>
      </c>
      <c r="B46" s="48"/>
      <c r="C46" s="48"/>
      <c r="D46" s="114" t="s">
        <v>1</v>
      </c>
      <c r="E46" s="114" t="s">
        <v>29</v>
      </c>
      <c r="F46" s="116">
        <v>0</v>
      </c>
      <c r="G46" s="116">
        <v>0</v>
      </c>
      <c r="H46" s="116">
        <v>0</v>
      </c>
      <c r="I46" s="116">
        <v>0</v>
      </c>
      <c r="J46" s="116">
        <v>0</v>
      </c>
      <c r="K46" s="116">
        <v>0</v>
      </c>
      <c r="L46" s="116">
        <v>0</v>
      </c>
      <c r="M46" s="116">
        <v>0</v>
      </c>
      <c r="N46" s="116">
        <v>0</v>
      </c>
      <c r="O46" s="116">
        <v>0</v>
      </c>
      <c r="P46" s="116">
        <v>0</v>
      </c>
      <c r="Q46" s="116">
        <v>0</v>
      </c>
      <c r="R46" s="116">
        <v>0</v>
      </c>
      <c r="S46" s="116">
        <v>0</v>
      </c>
      <c r="T46" s="116">
        <v>0</v>
      </c>
      <c r="U46" s="116">
        <v>0</v>
      </c>
      <c r="V46" s="116">
        <v>0</v>
      </c>
      <c r="W46" s="116">
        <v>0</v>
      </c>
      <c r="X46" s="116">
        <v>0</v>
      </c>
      <c r="Y46" s="116">
        <v>0</v>
      </c>
      <c r="Z46" s="116">
        <v>0</v>
      </c>
      <c r="AA46" s="116">
        <v>0</v>
      </c>
      <c r="AB46" s="116">
        <v>0</v>
      </c>
      <c r="AC46" s="26"/>
      <c r="AD46" s="26"/>
    </row>
    <row r="47" spans="1:30" x14ac:dyDescent="0.25">
      <c r="A47" s="93">
        <v>44</v>
      </c>
      <c r="B47" s="48"/>
      <c r="C47" s="48"/>
      <c r="D47" s="114" t="s">
        <v>30</v>
      </c>
      <c r="E47" s="114" t="s">
        <v>31</v>
      </c>
      <c r="F47" s="116">
        <v>0</v>
      </c>
      <c r="G47" s="116">
        <v>0</v>
      </c>
      <c r="H47" s="116">
        <v>0</v>
      </c>
      <c r="I47" s="116">
        <v>0</v>
      </c>
      <c r="J47" s="116">
        <v>0</v>
      </c>
      <c r="K47" s="116">
        <v>0</v>
      </c>
      <c r="L47" s="116">
        <v>0</v>
      </c>
      <c r="M47" s="116">
        <v>0</v>
      </c>
      <c r="N47" s="116">
        <v>0</v>
      </c>
      <c r="O47" s="116">
        <v>0</v>
      </c>
      <c r="P47" s="116">
        <v>0</v>
      </c>
      <c r="Q47" s="116">
        <v>0</v>
      </c>
      <c r="R47" s="116">
        <v>0</v>
      </c>
      <c r="S47" s="116">
        <v>0</v>
      </c>
      <c r="T47" s="116">
        <v>0</v>
      </c>
      <c r="U47" s="116">
        <v>0</v>
      </c>
      <c r="V47" s="116">
        <v>0</v>
      </c>
      <c r="W47" s="116">
        <v>0</v>
      </c>
      <c r="X47" s="116">
        <v>0</v>
      </c>
      <c r="Y47" s="116">
        <v>0</v>
      </c>
      <c r="Z47" s="116">
        <v>0</v>
      </c>
      <c r="AA47" s="116">
        <v>0</v>
      </c>
      <c r="AB47" s="116">
        <v>0</v>
      </c>
      <c r="AC47" s="26"/>
      <c r="AD47" s="26"/>
    </row>
    <row r="48" spans="1:30" ht="15.75" x14ac:dyDescent="0.25">
      <c r="A48" s="93">
        <v>45</v>
      </c>
      <c r="B48" s="48"/>
      <c r="C48" s="48"/>
      <c r="D48" s="112" t="s">
        <v>19</v>
      </c>
      <c r="E48" s="112" t="s">
        <v>22</v>
      </c>
      <c r="F48" s="113">
        <v>29.551403076923066</v>
      </c>
      <c r="G48" s="113">
        <v>52.753773164835174</v>
      </c>
      <c r="H48" s="113">
        <v>-207.01958869565217</v>
      </c>
      <c r="I48" s="113">
        <v>74.524824130434808</v>
      </c>
      <c r="J48" s="113">
        <v>85.88779856666666</v>
      </c>
      <c r="K48" s="113">
        <v>85.034737582417506</v>
      </c>
      <c r="L48" s="113">
        <v>73.531184391304379</v>
      </c>
      <c r="M48" s="113">
        <v>193.42784650000007</v>
      </c>
      <c r="N48" s="113">
        <v>49.216780088888882</v>
      </c>
      <c r="O48" s="113">
        <v>26.921373285714289</v>
      </c>
      <c r="P48" s="113">
        <v>3.0912768695652155</v>
      </c>
      <c r="Q48" s="113">
        <v>113.79717391304349</v>
      </c>
      <c r="R48" s="113">
        <v>11.872549500000007</v>
      </c>
      <c r="S48" s="113">
        <v>116.68362857142851</v>
      </c>
      <c r="T48" s="113">
        <v>31.902804565217394</v>
      </c>
      <c r="U48" s="113">
        <v>21.522786521739118</v>
      </c>
      <c r="V48" s="113">
        <v>362.45635298901107</v>
      </c>
      <c r="W48" s="113">
        <v>558.93161186813199</v>
      </c>
      <c r="X48" s="113">
        <v>488.23216336956506</v>
      </c>
      <c r="Y48" s="113">
        <v>576.04233704347814</v>
      </c>
      <c r="Z48" s="113">
        <v>361.48978576885952</v>
      </c>
      <c r="AA48" s="113">
        <v>411.43099390292872</v>
      </c>
      <c r="AB48" s="113">
        <v>293.56273549563468</v>
      </c>
      <c r="AC48" s="26"/>
      <c r="AD48" s="26"/>
    </row>
    <row r="49" spans="1:30" ht="9" customHeight="1" x14ac:dyDescent="0.25">
      <c r="A49" s="93">
        <v>46</v>
      </c>
      <c r="B49" s="48"/>
      <c r="C49" s="48"/>
      <c r="D49" s="119"/>
      <c r="E49" s="119"/>
      <c r="F49" s="120">
        <v>0</v>
      </c>
      <c r="G49" s="120">
        <v>0</v>
      </c>
      <c r="H49" s="120">
        <v>0</v>
      </c>
      <c r="I49" s="120">
        <v>0</v>
      </c>
      <c r="J49" s="120">
        <v>0</v>
      </c>
      <c r="K49" s="120">
        <v>0</v>
      </c>
      <c r="L49" s="120">
        <v>0</v>
      </c>
      <c r="M49" s="120">
        <v>0</v>
      </c>
      <c r="N49" s="120">
        <v>0</v>
      </c>
      <c r="O49" s="120">
        <v>0</v>
      </c>
      <c r="P49" s="120">
        <v>0</v>
      </c>
      <c r="Q49" s="120">
        <v>0</v>
      </c>
      <c r="R49" s="120">
        <v>0</v>
      </c>
      <c r="S49" s="120">
        <v>0</v>
      </c>
      <c r="T49" s="120">
        <v>0</v>
      </c>
      <c r="U49" s="120">
        <v>0</v>
      </c>
      <c r="V49" s="120">
        <v>0</v>
      </c>
      <c r="W49" s="120">
        <v>0</v>
      </c>
      <c r="X49" s="120">
        <v>0</v>
      </c>
      <c r="Y49" s="120">
        <v>0</v>
      </c>
      <c r="Z49" s="120">
        <v>0</v>
      </c>
      <c r="AA49" s="120">
        <v>0</v>
      </c>
      <c r="AB49" s="120">
        <v>0</v>
      </c>
      <c r="AC49" s="26"/>
      <c r="AD49" s="26"/>
    </row>
    <row r="50" spans="1:30" ht="35.1" customHeight="1" x14ac:dyDescent="0.3">
      <c r="A50" s="93">
        <v>47</v>
      </c>
      <c r="B50" s="107" t="s">
        <v>33</v>
      </c>
      <c r="C50" s="108"/>
      <c r="D50" s="108"/>
      <c r="E50" s="48"/>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26"/>
      <c r="AD50" s="26"/>
    </row>
    <row r="51" spans="1:30" ht="26.1" customHeight="1" x14ac:dyDescent="0.3">
      <c r="A51" s="93">
        <v>48</v>
      </c>
      <c r="B51" s="108"/>
      <c r="C51" s="110" t="s">
        <v>10</v>
      </c>
      <c r="D51" s="110"/>
      <c r="E51" s="48"/>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26"/>
      <c r="AD51" s="26"/>
    </row>
    <row r="52" spans="1:30" ht="18" customHeight="1" x14ac:dyDescent="0.25">
      <c r="A52" s="93">
        <v>49</v>
      </c>
      <c r="B52" s="48"/>
      <c r="C52" s="48"/>
      <c r="D52" s="112" t="s">
        <v>13</v>
      </c>
      <c r="E52" s="112" t="s">
        <v>35</v>
      </c>
      <c r="F52" s="113">
        <f>F53+F54+F58+F59</f>
        <v>360.90654418768236</v>
      </c>
      <c r="G52" s="113">
        <f t="shared" ref="G52" si="122">G53+G54+G58+G59</f>
        <v>-2868.4321364557172</v>
      </c>
      <c r="H52" s="113">
        <f t="shared" ref="H52" si="123">H53+H54+H58+H59</f>
        <v>1956.5356860794741</v>
      </c>
      <c r="I52" s="113">
        <f t="shared" ref="I52" si="124">I53+I54+I58+I59</f>
        <v>2071.10509008177</v>
      </c>
      <c r="J52" s="113">
        <f t="shared" ref="J52" si="125">J53+J54+J58+J59</f>
        <v>-1438.8323987084609</v>
      </c>
      <c r="K52" s="113">
        <f t="shared" ref="K52" si="126">K53+K54+K58+K59</f>
        <v>-886.50721834792603</v>
      </c>
      <c r="L52" s="113">
        <f t="shared" ref="L52" si="127">L53+L54+L58+L59</f>
        <v>2361.8901670316927</v>
      </c>
      <c r="M52" s="113">
        <f t="shared" ref="M52" si="128">M53+M54+M58+M59</f>
        <v>711.19252779001738</v>
      </c>
      <c r="N52" s="113">
        <f t="shared" ref="N52" si="129">N53+N54+N58+N59</f>
        <v>2741.5709182758237</v>
      </c>
      <c r="O52" s="113">
        <f t="shared" ref="O52" si="130">O53+O54+O58+O59</f>
        <v>2754.5562869903379</v>
      </c>
      <c r="P52" s="113">
        <f t="shared" ref="P52" si="131">P53+P54+P58+P59</f>
        <v>9656.4552330370898</v>
      </c>
      <c r="Q52" s="113">
        <f t="shared" ref="Q52" si="132">Q53+Q54+Q58+Q59</f>
        <v>-998.80888865090958</v>
      </c>
      <c r="R52" s="113">
        <f t="shared" ref="R52" si="133">R53+R54+R58+R59</f>
        <v>1237.1570712652372</v>
      </c>
      <c r="S52" s="113">
        <f t="shared" ref="S52" si="134">S53+S54+S58+S59</f>
        <v>2009.8775512291375</v>
      </c>
      <c r="T52" s="113">
        <f t="shared" ref="T52" si="135">T53+T54+T58+T59</f>
        <v>-255.05207906035375</v>
      </c>
      <c r="U52" s="113">
        <f t="shared" ref="U52" si="136">U53+U54+U58+U59</f>
        <v>1776.968364733516</v>
      </c>
      <c r="V52" s="113">
        <f t="shared" ref="V52" si="137">V53+V54+V58+V59</f>
        <v>-433.64004156042466</v>
      </c>
      <c r="W52" s="113">
        <f t="shared" ref="W52:X52" si="138">W53+W54+W58+W59</f>
        <v>186.82420461648209</v>
      </c>
      <c r="X52" s="113">
        <f t="shared" si="138"/>
        <v>-2143.2740370178535</v>
      </c>
      <c r="Y52" s="113">
        <f t="shared" ref="Y52:Z52" si="139">Y53+Y54+Y58+Y59</f>
        <v>-3456.7414069672814</v>
      </c>
      <c r="Z52" s="113">
        <f t="shared" si="139"/>
        <v>-3110.3900392310543</v>
      </c>
      <c r="AA52" s="113">
        <f t="shared" ref="AA52:AB52" si="140">AA53+AA54+AA58+AA59</f>
        <v>-297.20297740176704</v>
      </c>
      <c r="AB52" s="113">
        <f t="shared" si="140"/>
        <v>1635.53480510245</v>
      </c>
      <c r="AC52" s="26"/>
      <c r="AD52" s="26"/>
    </row>
    <row r="53" spans="1:30" x14ac:dyDescent="0.25">
      <c r="A53" s="93">
        <v>50</v>
      </c>
      <c r="B53" s="48"/>
      <c r="C53" s="48"/>
      <c r="D53" s="114" t="s">
        <v>14</v>
      </c>
      <c r="E53" s="114" t="s">
        <v>23</v>
      </c>
      <c r="F53" s="116">
        <v>0</v>
      </c>
      <c r="G53" s="116">
        <v>0</v>
      </c>
      <c r="H53" s="116">
        <v>0</v>
      </c>
      <c r="I53" s="116">
        <v>0</v>
      </c>
      <c r="J53" s="116">
        <v>0</v>
      </c>
      <c r="K53" s="116">
        <v>0</v>
      </c>
      <c r="L53" s="116">
        <v>0</v>
      </c>
      <c r="M53" s="116">
        <v>0</v>
      </c>
      <c r="N53" s="116">
        <v>0</v>
      </c>
      <c r="O53" s="116">
        <v>0</v>
      </c>
      <c r="P53" s="116">
        <v>0</v>
      </c>
      <c r="Q53" s="116">
        <v>0</v>
      </c>
      <c r="R53" s="116">
        <v>0</v>
      </c>
      <c r="S53" s="116">
        <v>0</v>
      </c>
      <c r="T53" s="116">
        <v>0</v>
      </c>
      <c r="U53" s="116">
        <v>0</v>
      </c>
      <c r="V53" s="116">
        <v>0</v>
      </c>
      <c r="W53" s="116">
        <v>0</v>
      </c>
      <c r="X53" s="116">
        <v>0</v>
      </c>
      <c r="Y53" s="116">
        <v>0</v>
      </c>
      <c r="Z53" s="116">
        <v>0</v>
      </c>
      <c r="AA53" s="116">
        <v>0</v>
      </c>
      <c r="AB53" s="116">
        <v>0</v>
      </c>
      <c r="AC53" s="26"/>
      <c r="AD53" s="26"/>
    </row>
    <row r="54" spans="1:30" x14ac:dyDescent="0.25">
      <c r="A54" s="93">
        <v>51</v>
      </c>
      <c r="B54" s="48"/>
      <c r="C54" s="48"/>
      <c r="D54" s="114" t="s">
        <v>15</v>
      </c>
      <c r="E54" s="114" t="s">
        <v>0</v>
      </c>
      <c r="F54" s="116">
        <f>SUM(F55:F57)</f>
        <v>360.90654418768236</v>
      </c>
      <c r="G54" s="116">
        <f t="shared" ref="G54" si="141">SUM(G55:G57)</f>
        <v>-2868.4321364557172</v>
      </c>
      <c r="H54" s="116">
        <f t="shared" ref="H54" si="142">SUM(H55:H57)</f>
        <v>1956.5356860794741</v>
      </c>
      <c r="I54" s="116">
        <f t="shared" ref="I54" si="143">SUM(I55:I57)</f>
        <v>2071.10509008177</v>
      </c>
      <c r="J54" s="116">
        <f t="shared" ref="J54" si="144">SUM(J55:J57)</f>
        <v>-1438.8323987084609</v>
      </c>
      <c r="K54" s="116">
        <f t="shared" ref="K54" si="145">SUM(K55:K57)</f>
        <v>-886.50721834792603</v>
      </c>
      <c r="L54" s="116">
        <f t="shared" ref="L54" si="146">SUM(L55:L57)</f>
        <v>2361.8901670316927</v>
      </c>
      <c r="M54" s="116">
        <f t="shared" ref="M54" si="147">SUM(M55:M57)</f>
        <v>711.19252779001738</v>
      </c>
      <c r="N54" s="116">
        <f t="shared" ref="N54" si="148">SUM(N55:N57)</f>
        <v>2741.5709182758237</v>
      </c>
      <c r="O54" s="116">
        <f t="shared" ref="O54" si="149">SUM(O55:O57)</f>
        <v>2754.5562869903379</v>
      </c>
      <c r="P54" s="116">
        <f t="shared" ref="P54" si="150">SUM(P55:P57)</f>
        <v>9656.4552330370898</v>
      </c>
      <c r="Q54" s="116">
        <f t="shared" ref="Q54" si="151">SUM(Q55:Q57)</f>
        <v>-998.80888865090958</v>
      </c>
      <c r="R54" s="116">
        <f t="shared" ref="R54" si="152">SUM(R55:R57)</f>
        <v>1237.1570712652372</v>
      </c>
      <c r="S54" s="116">
        <f t="shared" ref="S54" si="153">SUM(S55:S57)</f>
        <v>2009.8775512291375</v>
      </c>
      <c r="T54" s="116">
        <f t="shared" ref="T54" si="154">SUM(T55:T57)</f>
        <v>-255.05207906035375</v>
      </c>
      <c r="U54" s="116">
        <f t="shared" ref="U54" si="155">SUM(U55:U57)</f>
        <v>1776.968364733516</v>
      </c>
      <c r="V54" s="116">
        <f t="shared" ref="V54" si="156">SUM(V55:V57)</f>
        <v>-433.64004156042466</v>
      </c>
      <c r="W54" s="116">
        <f t="shared" ref="W54:X54" si="157">SUM(W55:W57)</f>
        <v>186.82420461648209</v>
      </c>
      <c r="X54" s="116">
        <f t="shared" si="157"/>
        <v>-2143.2740370178535</v>
      </c>
      <c r="Y54" s="116">
        <f t="shared" ref="Y54:Z54" si="158">SUM(Y55:Y57)</f>
        <v>-3456.7414069672814</v>
      </c>
      <c r="Z54" s="116">
        <f t="shared" si="158"/>
        <v>-3110.3900392310543</v>
      </c>
      <c r="AA54" s="116">
        <f t="shared" ref="AA54:AB54" si="159">SUM(AA55:AA57)</f>
        <v>-297.20297740176704</v>
      </c>
      <c r="AB54" s="116">
        <f t="shared" si="159"/>
        <v>1635.53480510245</v>
      </c>
      <c r="AC54" s="26"/>
      <c r="AD54" s="26"/>
    </row>
    <row r="55" spans="1:30" x14ac:dyDescent="0.25">
      <c r="A55" s="93">
        <v>52</v>
      </c>
      <c r="B55" s="48"/>
      <c r="C55" s="48"/>
      <c r="D55" s="117" t="s">
        <v>26</v>
      </c>
      <c r="E55" s="117" t="s">
        <v>25</v>
      </c>
      <c r="F55" s="118">
        <v>360.90654418768236</v>
      </c>
      <c r="G55" s="118">
        <v>-2868.4321364557172</v>
      </c>
      <c r="H55" s="118">
        <v>1956.5356860794741</v>
      </c>
      <c r="I55" s="118">
        <v>2071.10509008177</v>
      </c>
      <c r="J55" s="118">
        <v>-1438.8323987084609</v>
      </c>
      <c r="K55" s="118">
        <v>-886.50721834792603</v>
      </c>
      <c r="L55" s="118">
        <v>2361.8901670316927</v>
      </c>
      <c r="M55" s="118">
        <v>711.19252779001738</v>
      </c>
      <c r="N55" s="118">
        <v>2741.5709182758237</v>
      </c>
      <c r="O55" s="118">
        <v>2754.5562869903379</v>
      </c>
      <c r="P55" s="118">
        <v>9656.4552330370898</v>
      </c>
      <c r="Q55" s="118">
        <v>-998.80888865090958</v>
      </c>
      <c r="R55" s="118">
        <v>1237.1570712652372</v>
      </c>
      <c r="S55" s="118">
        <v>2009.8775512291375</v>
      </c>
      <c r="T55" s="118">
        <v>-255.05207906035375</v>
      </c>
      <c r="U55" s="118">
        <v>1776.968364733516</v>
      </c>
      <c r="V55" s="118">
        <v>-433.64004156042466</v>
      </c>
      <c r="W55" s="118">
        <v>186.82420461648209</v>
      </c>
      <c r="X55" s="118">
        <v>-2143.2740370178535</v>
      </c>
      <c r="Y55" s="118">
        <v>-3456.7414069672814</v>
      </c>
      <c r="Z55" s="118">
        <v>-3110.3900392310543</v>
      </c>
      <c r="AA55" s="118">
        <v>-297.20297740176704</v>
      </c>
      <c r="AB55" s="118">
        <v>1635.53480510245</v>
      </c>
      <c r="AC55" s="26"/>
      <c r="AD55" s="26"/>
    </row>
    <row r="56" spans="1:30" x14ac:dyDescent="0.25">
      <c r="A56" s="93">
        <v>53</v>
      </c>
      <c r="B56" s="48"/>
      <c r="C56" s="48"/>
      <c r="D56" s="117" t="s">
        <v>16</v>
      </c>
      <c r="E56" s="117" t="s">
        <v>27</v>
      </c>
      <c r="F56" s="118">
        <v>0</v>
      </c>
      <c r="G56" s="118">
        <v>0</v>
      </c>
      <c r="H56" s="118">
        <v>0</v>
      </c>
      <c r="I56" s="118">
        <v>0</v>
      </c>
      <c r="J56" s="118">
        <v>0</v>
      </c>
      <c r="K56" s="118">
        <v>0</v>
      </c>
      <c r="L56" s="118">
        <v>0</v>
      </c>
      <c r="M56" s="118">
        <v>0</v>
      </c>
      <c r="N56" s="118">
        <v>0</v>
      </c>
      <c r="O56" s="118">
        <v>0</v>
      </c>
      <c r="P56" s="118">
        <v>0</v>
      </c>
      <c r="Q56" s="118">
        <v>0</v>
      </c>
      <c r="R56" s="118">
        <v>0</v>
      </c>
      <c r="S56" s="118">
        <v>0</v>
      </c>
      <c r="T56" s="118">
        <v>0</v>
      </c>
      <c r="U56" s="118">
        <v>0</v>
      </c>
      <c r="V56" s="118">
        <v>0</v>
      </c>
      <c r="W56" s="118">
        <v>0</v>
      </c>
      <c r="X56" s="118">
        <v>0</v>
      </c>
      <c r="Y56" s="118">
        <v>0</v>
      </c>
      <c r="Z56" s="118">
        <v>0</v>
      </c>
      <c r="AA56" s="118">
        <v>0</v>
      </c>
      <c r="AB56" s="118">
        <v>0</v>
      </c>
      <c r="AC56" s="26"/>
      <c r="AD56" s="26"/>
    </row>
    <row r="57" spans="1:30" x14ac:dyDescent="0.25">
      <c r="A57" s="93">
        <v>54</v>
      </c>
      <c r="B57" s="48"/>
      <c r="C57" s="48"/>
      <c r="D57" s="117" t="s">
        <v>17</v>
      </c>
      <c r="E57" s="117" t="s">
        <v>28</v>
      </c>
      <c r="F57" s="118">
        <v>0</v>
      </c>
      <c r="G57" s="118">
        <v>0</v>
      </c>
      <c r="H57" s="118">
        <v>0</v>
      </c>
      <c r="I57" s="118">
        <v>0</v>
      </c>
      <c r="J57" s="118">
        <v>0</v>
      </c>
      <c r="K57" s="118">
        <v>0</v>
      </c>
      <c r="L57" s="118">
        <v>0</v>
      </c>
      <c r="M57" s="118">
        <v>0</v>
      </c>
      <c r="N57" s="118">
        <v>0</v>
      </c>
      <c r="O57" s="118">
        <v>0</v>
      </c>
      <c r="P57" s="118">
        <v>0</v>
      </c>
      <c r="Q57" s="118">
        <v>0</v>
      </c>
      <c r="R57" s="118">
        <v>0</v>
      </c>
      <c r="S57" s="118">
        <v>0</v>
      </c>
      <c r="T57" s="118">
        <v>0</v>
      </c>
      <c r="U57" s="118">
        <v>0</v>
      </c>
      <c r="V57" s="118">
        <v>0</v>
      </c>
      <c r="W57" s="118">
        <v>0</v>
      </c>
      <c r="X57" s="118">
        <v>0</v>
      </c>
      <c r="Y57" s="118">
        <v>0</v>
      </c>
      <c r="Z57" s="118">
        <v>0</v>
      </c>
      <c r="AA57" s="118">
        <v>0</v>
      </c>
      <c r="AB57" s="118">
        <v>0</v>
      </c>
      <c r="AC57" s="26"/>
      <c r="AD57" s="26"/>
    </row>
    <row r="58" spans="1:30" x14ac:dyDescent="0.25">
      <c r="A58" s="93">
        <v>55</v>
      </c>
      <c r="B58" s="48"/>
      <c r="C58" s="48"/>
      <c r="D58" s="114" t="s">
        <v>18</v>
      </c>
      <c r="E58" s="114" t="s">
        <v>29</v>
      </c>
      <c r="F58" s="118">
        <v>0</v>
      </c>
      <c r="G58" s="118">
        <v>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8">
        <v>0</v>
      </c>
      <c r="X58" s="118">
        <v>0</v>
      </c>
      <c r="Y58" s="118">
        <v>0</v>
      </c>
      <c r="Z58" s="118">
        <v>0</v>
      </c>
      <c r="AA58" s="118">
        <v>0</v>
      </c>
      <c r="AB58" s="118">
        <v>0</v>
      </c>
      <c r="AC58" s="26"/>
      <c r="AD58" s="26"/>
    </row>
    <row r="59" spans="1:30" x14ac:dyDescent="0.25">
      <c r="A59" s="93">
        <v>56</v>
      </c>
      <c r="B59" s="48"/>
      <c r="C59" s="48"/>
      <c r="D59" s="114" t="s">
        <v>30</v>
      </c>
      <c r="E59" s="114" t="s">
        <v>31</v>
      </c>
      <c r="F59" s="118">
        <v>0</v>
      </c>
      <c r="G59" s="118">
        <v>0</v>
      </c>
      <c r="H59" s="118">
        <v>0</v>
      </c>
      <c r="I59" s="118">
        <v>0</v>
      </c>
      <c r="J59" s="118">
        <v>0</v>
      </c>
      <c r="K59" s="118">
        <v>0</v>
      </c>
      <c r="L59" s="118">
        <v>0</v>
      </c>
      <c r="M59" s="118">
        <v>0</v>
      </c>
      <c r="N59" s="118">
        <v>0</v>
      </c>
      <c r="O59" s="118">
        <v>0</v>
      </c>
      <c r="P59" s="118">
        <v>0</v>
      </c>
      <c r="Q59" s="118">
        <v>0</v>
      </c>
      <c r="R59" s="118">
        <v>0</v>
      </c>
      <c r="S59" s="118">
        <v>0</v>
      </c>
      <c r="T59" s="118">
        <v>0</v>
      </c>
      <c r="U59" s="118">
        <v>0</v>
      </c>
      <c r="V59" s="118">
        <v>0</v>
      </c>
      <c r="W59" s="118">
        <v>0</v>
      </c>
      <c r="X59" s="118">
        <v>0</v>
      </c>
      <c r="Y59" s="118">
        <v>0</v>
      </c>
      <c r="Z59" s="118">
        <v>0</v>
      </c>
      <c r="AA59" s="118">
        <v>0</v>
      </c>
      <c r="AB59" s="118">
        <v>0</v>
      </c>
      <c r="AC59" s="26"/>
      <c r="AD59" s="26"/>
    </row>
    <row r="60" spans="1:30" ht="15.75" x14ac:dyDescent="0.25">
      <c r="A60" s="93">
        <v>57</v>
      </c>
      <c r="B60" s="48"/>
      <c r="C60" s="48"/>
      <c r="D60" s="112" t="s">
        <v>19</v>
      </c>
      <c r="E60" s="112" t="s">
        <v>22</v>
      </c>
      <c r="F60" s="113">
        <v>-1119.5584779954986</v>
      </c>
      <c r="G60" s="113">
        <v>5918.7788886311228</v>
      </c>
      <c r="H60" s="113">
        <v>-558.69541686816865</v>
      </c>
      <c r="I60" s="113">
        <v>1814.2345859311865</v>
      </c>
      <c r="J60" s="113">
        <v>-1612.9087990520675</v>
      </c>
      <c r="K60" s="113">
        <v>1629.0910534317122</v>
      </c>
      <c r="L60" s="113">
        <v>3338.3623206332327</v>
      </c>
      <c r="M60" s="113">
        <v>5144.7012938492726</v>
      </c>
      <c r="N60" s="113">
        <v>-9371.561532433876</v>
      </c>
      <c r="O60" s="113">
        <v>-953.95595533299888</v>
      </c>
      <c r="P60" s="113">
        <v>9393.0646380232902</v>
      </c>
      <c r="Q60" s="113">
        <v>-10489.087992168172</v>
      </c>
      <c r="R60" s="113">
        <v>-6316.1850544867239</v>
      </c>
      <c r="S60" s="113">
        <v>-1954.3936565283211</v>
      </c>
      <c r="T60" s="113">
        <v>-2925.2459510600111</v>
      </c>
      <c r="U60" s="113">
        <v>3240.4103438564748</v>
      </c>
      <c r="V60" s="113">
        <v>-4020.4065103282974</v>
      </c>
      <c r="W60" s="113">
        <v>-440.56457434015442</v>
      </c>
      <c r="X60" s="113">
        <v>3839.2142731087461</v>
      </c>
      <c r="Y60" s="113">
        <v>1298.0035731578357</v>
      </c>
      <c r="Z60" s="113">
        <v>129.26883477217734</v>
      </c>
      <c r="AA60" s="113">
        <v>-6367.02800829016</v>
      </c>
      <c r="AB60" s="113">
        <v>3592.4063734721049</v>
      </c>
      <c r="AC60" s="26"/>
      <c r="AD60" s="26"/>
    </row>
    <row r="61" spans="1:30" ht="9" customHeight="1" x14ac:dyDescent="0.25">
      <c r="A61" s="93">
        <v>58</v>
      </c>
      <c r="B61" s="48"/>
      <c r="C61" s="48"/>
      <c r="D61" s="119"/>
      <c r="E61" s="119"/>
      <c r="F61" s="120">
        <v>0</v>
      </c>
      <c r="G61" s="120">
        <v>0</v>
      </c>
      <c r="H61" s="120">
        <v>0</v>
      </c>
      <c r="I61" s="120">
        <v>0</v>
      </c>
      <c r="J61" s="120">
        <v>0</v>
      </c>
      <c r="K61" s="120">
        <v>0</v>
      </c>
      <c r="L61" s="120">
        <v>0</v>
      </c>
      <c r="M61" s="120">
        <v>0</v>
      </c>
      <c r="N61" s="120">
        <v>0</v>
      </c>
      <c r="O61" s="120">
        <v>0</v>
      </c>
      <c r="P61" s="120">
        <v>0</v>
      </c>
      <c r="Q61" s="120">
        <v>0</v>
      </c>
      <c r="R61" s="120">
        <v>0</v>
      </c>
      <c r="S61" s="120">
        <v>0</v>
      </c>
      <c r="T61" s="120">
        <v>0</v>
      </c>
      <c r="U61" s="120">
        <v>0</v>
      </c>
      <c r="V61" s="120">
        <v>0</v>
      </c>
      <c r="W61" s="120">
        <v>0</v>
      </c>
      <c r="X61" s="120">
        <v>0</v>
      </c>
      <c r="Y61" s="120">
        <v>0</v>
      </c>
      <c r="Z61" s="120">
        <v>0</v>
      </c>
      <c r="AA61" s="120">
        <v>0</v>
      </c>
      <c r="AB61" s="120">
        <v>0</v>
      </c>
      <c r="AC61" s="26"/>
      <c r="AD61" s="26"/>
    </row>
    <row r="62" spans="1:30" ht="26.1" customHeight="1" x14ac:dyDescent="0.3">
      <c r="A62" s="93">
        <v>59</v>
      </c>
      <c r="B62" s="108"/>
      <c r="C62" s="110" t="s">
        <v>11</v>
      </c>
      <c r="D62" s="110"/>
      <c r="E62" s="48"/>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26"/>
      <c r="AD62" s="26"/>
    </row>
    <row r="63" spans="1:30" ht="18" customHeight="1" x14ac:dyDescent="0.25">
      <c r="A63" s="93">
        <v>60</v>
      </c>
      <c r="B63" s="48"/>
      <c r="C63" s="48"/>
      <c r="D63" s="112" t="s">
        <v>13</v>
      </c>
      <c r="E63" s="112" t="s">
        <v>35</v>
      </c>
      <c r="F63" s="113">
        <f>F64+F65+F69+F70</f>
        <v>-1269.5136029274804</v>
      </c>
      <c r="G63" s="113">
        <f t="shared" ref="G63" si="160">G64+G65+G69+G70</f>
        <v>4307.4804251609676</v>
      </c>
      <c r="H63" s="113">
        <f t="shared" ref="H63" si="161">H64+H65+H69+H70</f>
        <v>1617.8625190495745</v>
      </c>
      <c r="I63" s="113">
        <f t="shared" ref="I63" si="162">I64+I65+I69+I70</f>
        <v>1718.6983613288814</v>
      </c>
      <c r="J63" s="113">
        <f t="shared" ref="J63" si="163">J64+J65+J69+J70</f>
        <v>1303.1855508344192</v>
      </c>
      <c r="K63" s="113">
        <f t="shared" ref="K63" si="164">K64+K65+K69+K70</f>
        <v>1463.2199708831977</v>
      </c>
      <c r="L63" s="113">
        <f t="shared" ref="L63" si="165">L64+L65+L69+L70</f>
        <v>-2188.8789917762524</v>
      </c>
      <c r="M63" s="113">
        <f t="shared" ref="M63" si="166">M64+M65+M69+M70</f>
        <v>107.27449354938692</v>
      </c>
      <c r="N63" s="113">
        <f t="shared" ref="N63" si="167">N64+N65+N69+N70</f>
        <v>-3615.4095934521447</v>
      </c>
      <c r="O63" s="113">
        <f t="shared" ref="O63" si="168">O64+O65+O69+O70</f>
        <v>-667.15090782744039</v>
      </c>
      <c r="P63" s="113">
        <f t="shared" ref="P63" si="169">P64+P65+P69+P70</f>
        <v>-371.94484681805045</v>
      </c>
      <c r="Q63" s="113">
        <f t="shared" ref="Q63" si="170">Q64+Q65+Q69+Q70</f>
        <v>6202.5451517792135</v>
      </c>
      <c r="R63" s="113">
        <f t="shared" ref="R63" si="171">R64+R65+R69+R70</f>
        <v>5943.9406004718876</v>
      </c>
      <c r="S63" s="113">
        <f t="shared" ref="S63" si="172">S64+S65+S69+S70</f>
        <v>2189.7170454596917</v>
      </c>
      <c r="T63" s="113">
        <f t="shared" ref="T63" si="173">T64+T65+T69+T70</f>
        <v>-1215.8888101177322</v>
      </c>
      <c r="U63" s="113">
        <f t="shared" ref="U63" si="174">U64+U65+U69+U70</f>
        <v>3389.24856753529</v>
      </c>
      <c r="V63" s="113">
        <f t="shared" ref="V63" si="175">V64+V65+V69+V70</f>
        <v>2012.2148439208254</v>
      </c>
      <c r="W63" s="113">
        <f t="shared" ref="W63:X63" si="176">W64+W65+W69+W70</f>
        <v>-2890.04060207866</v>
      </c>
      <c r="X63" s="113">
        <f t="shared" si="176"/>
        <v>1001.9780574896188</v>
      </c>
      <c r="Y63" s="113">
        <f t="shared" ref="Y63:Z63" si="177">Y64+Y65+Y69+Y70</f>
        <v>1526.8574513261615</v>
      </c>
      <c r="Z63" s="113">
        <f t="shared" si="177"/>
        <v>-1266.1720527200284</v>
      </c>
      <c r="AA63" s="113">
        <f t="shared" ref="AA63:AB63" si="178">AA64+AA65+AA69+AA70</f>
        <v>-2510.6149629869205</v>
      </c>
      <c r="AB63" s="113">
        <f t="shared" si="178"/>
        <v>-2546.8014453264668</v>
      </c>
      <c r="AC63" s="26"/>
      <c r="AD63" s="26"/>
    </row>
    <row r="64" spans="1:30" x14ac:dyDescent="0.25">
      <c r="A64" s="93">
        <v>61</v>
      </c>
      <c r="B64" s="48"/>
      <c r="C64" s="48"/>
      <c r="D64" s="114" t="s">
        <v>14</v>
      </c>
      <c r="E64" s="114" t="s">
        <v>23</v>
      </c>
      <c r="F64" s="118">
        <v>-6.9023655174800504</v>
      </c>
      <c r="G64" s="118">
        <v>-7.4727861790214352</v>
      </c>
      <c r="H64" s="118">
        <v>-14.432456590426435</v>
      </c>
      <c r="I64" s="118">
        <v>-6.3953036411214361</v>
      </c>
      <c r="J64" s="118">
        <v>-4.8131250955705891</v>
      </c>
      <c r="K64" s="118">
        <v>-5.6428500668075268</v>
      </c>
      <c r="L64" s="118">
        <v>23.018570303745769</v>
      </c>
      <c r="M64" s="118">
        <v>-3.5841478506111484</v>
      </c>
      <c r="N64" s="118">
        <v>-5.9195801921441253</v>
      </c>
      <c r="O64" s="118">
        <v>-2.1075697074403474</v>
      </c>
      <c r="P64" s="118">
        <v>0.99607930195042682</v>
      </c>
      <c r="Q64" s="118">
        <v>-4.3762419007965461</v>
      </c>
      <c r="R64" s="118">
        <v>-2.8116905181121834</v>
      </c>
      <c r="S64" s="118">
        <v>-2.4388514802816235</v>
      </c>
      <c r="T64" s="118">
        <v>-2.1424227477327578</v>
      </c>
      <c r="U64" s="118">
        <v>-2.6750069447077331</v>
      </c>
      <c r="V64" s="118">
        <v>-2.257690512745846</v>
      </c>
      <c r="W64" s="118">
        <v>-1.8969691050822195</v>
      </c>
      <c r="X64" s="118">
        <v>0</v>
      </c>
      <c r="Y64" s="118">
        <v>0</v>
      </c>
      <c r="Z64" s="118">
        <v>0</v>
      </c>
      <c r="AA64" s="118">
        <v>0</v>
      </c>
      <c r="AB64" s="118">
        <v>0</v>
      </c>
      <c r="AC64" s="26"/>
      <c r="AD64" s="26"/>
    </row>
    <row r="65" spans="1:30" x14ac:dyDescent="0.25">
      <c r="A65" s="93">
        <v>62</v>
      </c>
      <c r="B65" s="48"/>
      <c r="C65" s="48"/>
      <c r="D65" s="114" t="s">
        <v>15</v>
      </c>
      <c r="E65" s="114" t="s">
        <v>0</v>
      </c>
      <c r="F65" s="116">
        <f>SUM(F66:F68)</f>
        <v>-2029.5032434000002</v>
      </c>
      <c r="G65" s="116">
        <f t="shared" ref="G65" si="179">SUM(G66:G68)</f>
        <v>2094.3955575599898</v>
      </c>
      <c r="H65" s="116">
        <f t="shared" ref="H65" si="180">SUM(H66:H68)</f>
        <v>-4.0453424899990811</v>
      </c>
      <c r="I65" s="116">
        <f t="shared" ref="I65" si="181">SUM(I66:I68)</f>
        <v>919.48699931000306</v>
      </c>
      <c r="J65" s="116">
        <f t="shared" ref="J65" si="182">SUM(J66:J68)</f>
        <v>-1004.2889804200099</v>
      </c>
      <c r="K65" s="116">
        <f t="shared" ref="K65" si="183">SUM(K66:K68)</f>
        <v>-959.69603034999409</v>
      </c>
      <c r="L65" s="116">
        <f t="shared" ref="L65" si="184">SUM(L66:L68)</f>
        <v>-834.93797497999799</v>
      </c>
      <c r="M65" s="116">
        <f t="shared" ref="M65" si="185">SUM(M66:M68)</f>
        <v>119.44248135999798</v>
      </c>
      <c r="N65" s="116">
        <f t="shared" ref="N65" si="186">SUM(N66:N68)</f>
        <v>-2445.2123029200002</v>
      </c>
      <c r="O65" s="116">
        <f t="shared" ref="O65" si="187">SUM(O66:O68)</f>
        <v>447.78594376000001</v>
      </c>
      <c r="P65" s="116">
        <f t="shared" ref="P65" si="188">SUM(P66:P68)</f>
        <v>-645.896004610001</v>
      </c>
      <c r="Q65" s="116">
        <f t="shared" ref="Q65" si="189">SUM(Q66:Q68)</f>
        <v>5556.3413531200094</v>
      </c>
      <c r="R65" s="116">
        <f t="shared" ref="R65" si="190">SUM(R66:R68)</f>
        <v>4982.7760620400004</v>
      </c>
      <c r="S65" s="116">
        <f t="shared" ref="S65" si="191">SUM(S66:S68)</f>
        <v>106.130228109973</v>
      </c>
      <c r="T65" s="116">
        <f t="shared" ref="T65" si="192">SUM(T66:T68)</f>
        <v>-4545.5537795700011</v>
      </c>
      <c r="U65" s="116">
        <f t="shared" ref="U65" si="193">SUM(U66:U68)</f>
        <v>4008.6366094200002</v>
      </c>
      <c r="V65" s="116">
        <f t="shared" ref="V65" si="194">SUM(V66:V68)</f>
        <v>-256.39166363000896</v>
      </c>
      <c r="W65" s="116">
        <f t="shared" ref="W65:X65" si="195">SUM(W66:W68)</f>
        <v>-4390.1202053499992</v>
      </c>
      <c r="X65" s="116">
        <f t="shared" si="195"/>
        <v>2598.41358829001</v>
      </c>
      <c r="Y65" s="116">
        <f t="shared" ref="Y65:Z65" si="196">SUM(Y66:Y68)</f>
        <v>635.70470785000691</v>
      </c>
      <c r="Z65" s="116">
        <f t="shared" si="196"/>
        <v>-2944.1801205999996</v>
      </c>
      <c r="AA65" s="116">
        <f t="shared" ref="AA65:AB65" si="197">SUM(AA66:AA68)</f>
        <v>-2192.4620406399995</v>
      </c>
      <c r="AB65" s="116">
        <f t="shared" si="197"/>
        <v>-1282.3375341399999</v>
      </c>
      <c r="AC65" s="26"/>
      <c r="AD65" s="26"/>
    </row>
    <row r="66" spans="1:30" x14ac:dyDescent="0.25">
      <c r="A66" s="93">
        <v>63</v>
      </c>
      <c r="B66" s="48"/>
      <c r="C66" s="48"/>
      <c r="D66" s="117" t="s">
        <v>26</v>
      </c>
      <c r="E66" s="117" t="s">
        <v>25</v>
      </c>
      <c r="F66" s="118">
        <v>-2029.5032404000001</v>
      </c>
      <c r="G66" s="118">
        <v>2094.3955575599898</v>
      </c>
      <c r="H66" s="118">
        <v>-4.0453424899990811</v>
      </c>
      <c r="I66" s="118">
        <v>919.48699931000306</v>
      </c>
      <c r="J66" s="118">
        <v>-1004.2889804200099</v>
      </c>
      <c r="K66" s="118">
        <v>-959.69603034999409</v>
      </c>
      <c r="L66" s="118">
        <v>-834.93797497999799</v>
      </c>
      <c r="M66" s="118">
        <v>119.44248135999798</v>
      </c>
      <c r="N66" s="118">
        <v>-2445.2123029200002</v>
      </c>
      <c r="O66" s="118">
        <v>447.78594376000001</v>
      </c>
      <c r="P66" s="118">
        <v>-645.896004610001</v>
      </c>
      <c r="Q66" s="118">
        <v>5556.3413531200094</v>
      </c>
      <c r="R66" s="118">
        <v>4982.7760620400004</v>
      </c>
      <c r="S66" s="118">
        <v>106.130228109973</v>
      </c>
      <c r="T66" s="118">
        <v>-4545.5537795700011</v>
      </c>
      <c r="U66" s="118">
        <v>4008.6366094200002</v>
      </c>
      <c r="V66" s="118">
        <v>-256.39166363000896</v>
      </c>
      <c r="W66" s="118">
        <v>-4390.1202053499992</v>
      </c>
      <c r="X66" s="118">
        <v>2598.41358829001</v>
      </c>
      <c r="Y66" s="118">
        <v>635.70470785000691</v>
      </c>
      <c r="Z66" s="118">
        <v>-2944.1711232899997</v>
      </c>
      <c r="AA66" s="118">
        <v>-2192.4617043799994</v>
      </c>
      <c r="AB66" s="118">
        <v>-1282.3375341399999</v>
      </c>
      <c r="AC66" s="26"/>
      <c r="AD66" s="26"/>
    </row>
    <row r="67" spans="1:30" x14ac:dyDescent="0.25">
      <c r="A67" s="93">
        <v>64</v>
      </c>
      <c r="B67" s="48"/>
      <c r="C67" s="48"/>
      <c r="D67" s="117" t="s">
        <v>16</v>
      </c>
      <c r="E67" s="117" t="s">
        <v>27</v>
      </c>
      <c r="F67" s="118">
        <v>-3.0000000000000001E-6</v>
      </c>
      <c r="G67" s="118">
        <v>0</v>
      </c>
      <c r="H67" s="118">
        <v>0</v>
      </c>
      <c r="I67" s="118">
        <v>0</v>
      </c>
      <c r="J67" s="118">
        <v>0</v>
      </c>
      <c r="K67" s="118">
        <v>0</v>
      </c>
      <c r="L67" s="118">
        <v>0</v>
      </c>
      <c r="M67" s="118">
        <v>0</v>
      </c>
      <c r="N67" s="118">
        <v>0</v>
      </c>
      <c r="O67" s="118">
        <v>0</v>
      </c>
      <c r="P67" s="118">
        <v>0</v>
      </c>
      <c r="Q67" s="118">
        <v>0</v>
      </c>
      <c r="R67" s="118">
        <v>0</v>
      </c>
      <c r="S67" s="118">
        <v>0</v>
      </c>
      <c r="T67" s="118">
        <v>0</v>
      </c>
      <c r="U67" s="118">
        <v>0</v>
      </c>
      <c r="V67" s="118">
        <v>0</v>
      </c>
      <c r="W67" s="118">
        <v>0</v>
      </c>
      <c r="X67" s="118">
        <v>0</v>
      </c>
      <c r="Y67" s="118">
        <v>0</v>
      </c>
      <c r="Z67" s="118">
        <v>-8.9973100000000014E-3</v>
      </c>
      <c r="AA67" s="118">
        <v>-3.3626000000000001E-4</v>
      </c>
      <c r="AB67" s="118">
        <v>0</v>
      </c>
      <c r="AC67" s="26"/>
      <c r="AD67" s="26"/>
    </row>
    <row r="68" spans="1:30" x14ac:dyDescent="0.25">
      <c r="A68" s="93">
        <v>65</v>
      </c>
      <c r="B68" s="48"/>
      <c r="C68" s="48"/>
      <c r="D68" s="117" t="s">
        <v>17</v>
      </c>
      <c r="E68" s="117" t="s">
        <v>28</v>
      </c>
      <c r="F68" s="118">
        <v>0</v>
      </c>
      <c r="G68" s="118">
        <v>0</v>
      </c>
      <c r="H68" s="118">
        <v>0</v>
      </c>
      <c r="I68" s="118">
        <v>0</v>
      </c>
      <c r="J68" s="118">
        <v>0</v>
      </c>
      <c r="K68" s="118">
        <v>0</v>
      </c>
      <c r="L68" s="118">
        <v>0</v>
      </c>
      <c r="M68" s="118">
        <v>0</v>
      </c>
      <c r="N68" s="118">
        <v>0</v>
      </c>
      <c r="O68" s="118">
        <v>0</v>
      </c>
      <c r="P68" s="118">
        <v>0</v>
      </c>
      <c r="Q68" s="118">
        <v>0</v>
      </c>
      <c r="R68" s="118">
        <v>0</v>
      </c>
      <c r="S68" s="118">
        <v>0</v>
      </c>
      <c r="T68" s="118">
        <v>0</v>
      </c>
      <c r="U68" s="118">
        <v>0</v>
      </c>
      <c r="V68" s="118">
        <v>0</v>
      </c>
      <c r="W68" s="118">
        <v>0</v>
      </c>
      <c r="X68" s="118">
        <v>0</v>
      </c>
      <c r="Y68" s="118">
        <v>0</v>
      </c>
      <c r="Z68" s="118">
        <v>0</v>
      </c>
      <c r="AA68" s="118">
        <v>0</v>
      </c>
      <c r="AB68" s="118">
        <v>0</v>
      </c>
      <c r="AC68" s="26"/>
      <c r="AD68" s="26"/>
    </row>
    <row r="69" spans="1:30" x14ac:dyDescent="0.25">
      <c r="A69" s="93">
        <v>66</v>
      </c>
      <c r="B69" s="48"/>
      <c r="C69" s="48"/>
      <c r="D69" s="114" t="s">
        <v>1</v>
      </c>
      <c r="E69" s="114" t="s">
        <v>29</v>
      </c>
      <c r="F69" s="116">
        <v>766.89200599000003</v>
      </c>
      <c r="G69" s="116">
        <v>2220.5576537799998</v>
      </c>
      <c r="H69" s="116">
        <v>1636.34031813</v>
      </c>
      <c r="I69" s="116">
        <v>805.60666565999986</v>
      </c>
      <c r="J69" s="116">
        <v>2312.2876563499999</v>
      </c>
      <c r="K69" s="116">
        <v>2428.5588512999993</v>
      </c>
      <c r="L69" s="116">
        <v>-1376.9595871000004</v>
      </c>
      <c r="M69" s="116">
        <v>-8.5838399599999207</v>
      </c>
      <c r="N69" s="116">
        <v>-1164.2777103400001</v>
      </c>
      <c r="O69" s="116">
        <v>-1112.8292818800001</v>
      </c>
      <c r="P69" s="116">
        <v>272.95507849000012</v>
      </c>
      <c r="Q69" s="116">
        <v>650.58004056000004</v>
      </c>
      <c r="R69" s="116">
        <v>963.97622894999984</v>
      </c>
      <c r="S69" s="116">
        <v>2086.0256688300005</v>
      </c>
      <c r="T69" s="116">
        <v>3331.8073922000017</v>
      </c>
      <c r="U69" s="116">
        <v>-616.71303494000244</v>
      </c>
      <c r="V69" s="116">
        <v>2270.8641980635803</v>
      </c>
      <c r="W69" s="116">
        <v>1501.9765723764217</v>
      </c>
      <c r="X69" s="116">
        <v>-1596.4355308003912</v>
      </c>
      <c r="Y69" s="116">
        <v>891.15274347615468</v>
      </c>
      <c r="Z69" s="116">
        <v>1678.0080678799711</v>
      </c>
      <c r="AA69" s="116">
        <v>-318.15292234692083</v>
      </c>
      <c r="AB69" s="116">
        <v>-1264.4639111864672</v>
      </c>
      <c r="AC69" s="26"/>
      <c r="AD69" s="26"/>
    </row>
    <row r="70" spans="1:30" x14ac:dyDescent="0.25">
      <c r="A70" s="93">
        <v>67</v>
      </c>
      <c r="B70" s="48"/>
      <c r="C70" s="48"/>
      <c r="D70" s="114" t="s">
        <v>30</v>
      </c>
      <c r="E70" s="114" t="s">
        <v>31</v>
      </c>
      <c r="F70" s="116">
        <v>0</v>
      </c>
      <c r="G70" s="116">
        <v>0</v>
      </c>
      <c r="H70" s="116">
        <v>0</v>
      </c>
      <c r="I70" s="116">
        <v>0</v>
      </c>
      <c r="J70" s="116">
        <v>0</v>
      </c>
      <c r="K70" s="116">
        <v>0</v>
      </c>
      <c r="L70" s="116">
        <v>0</v>
      </c>
      <c r="M70" s="116">
        <v>0</v>
      </c>
      <c r="N70" s="116">
        <v>0</v>
      </c>
      <c r="O70" s="116">
        <v>0</v>
      </c>
      <c r="P70" s="116">
        <v>0</v>
      </c>
      <c r="Q70" s="116">
        <v>0</v>
      </c>
      <c r="R70" s="116">
        <v>0</v>
      </c>
      <c r="S70" s="116">
        <v>0</v>
      </c>
      <c r="T70" s="116">
        <v>0</v>
      </c>
      <c r="U70" s="116">
        <v>0</v>
      </c>
      <c r="V70" s="116">
        <v>0</v>
      </c>
      <c r="W70" s="116">
        <v>0</v>
      </c>
      <c r="X70" s="116">
        <v>0</v>
      </c>
      <c r="Y70" s="116">
        <v>0</v>
      </c>
      <c r="Z70" s="116">
        <v>0</v>
      </c>
      <c r="AA70" s="116">
        <v>0</v>
      </c>
      <c r="AB70" s="116">
        <v>0</v>
      </c>
      <c r="AC70" s="26"/>
      <c r="AD70" s="26"/>
    </row>
    <row r="71" spans="1:30" ht="15.75" x14ac:dyDescent="0.25">
      <c r="A71" s="93">
        <v>68</v>
      </c>
      <c r="B71" s="48"/>
      <c r="C71" s="48"/>
      <c r="D71" s="112" t="s">
        <v>19</v>
      </c>
      <c r="E71" s="112" t="s">
        <v>22</v>
      </c>
      <c r="F71" s="113">
        <v>-2.1753020091639321</v>
      </c>
      <c r="G71" s="113">
        <v>173.67658093161654</v>
      </c>
      <c r="H71" s="113">
        <v>1672.7846885699876</v>
      </c>
      <c r="I71" s="113">
        <v>1922.7255379750693</v>
      </c>
      <c r="J71" s="113">
        <v>618.08496040422358</v>
      </c>
      <c r="K71" s="113">
        <v>22.340698733359616</v>
      </c>
      <c r="L71" s="113">
        <v>-1642.7356024534024</v>
      </c>
      <c r="M71" s="113">
        <v>-250.35793481241541</v>
      </c>
      <c r="N71" s="113">
        <v>75.933449611581992</v>
      </c>
      <c r="O71" s="113">
        <v>3726.4246616438718</v>
      </c>
      <c r="P71" s="113">
        <v>307.96604027991185</v>
      </c>
      <c r="Q71" s="113">
        <v>12225.423532469724</v>
      </c>
      <c r="R71" s="113">
        <v>10338.571063318474</v>
      </c>
      <c r="S71" s="113">
        <v>6476.8334800587472</v>
      </c>
      <c r="T71" s="113">
        <v>5628.956809666146</v>
      </c>
      <c r="U71" s="113">
        <v>6872.5799078266928</v>
      </c>
      <c r="V71" s="113">
        <v>5420.386926740799</v>
      </c>
      <c r="W71" s="113">
        <v>-478.07259257536589</v>
      </c>
      <c r="X71" s="113">
        <v>2554.2110150221602</v>
      </c>
      <c r="Y71" s="113">
        <v>79.795031678173245</v>
      </c>
      <c r="Z71" s="113">
        <v>-2837.2215365277889</v>
      </c>
      <c r="AA71" s="113">
        <v>9873.5478395980645</v>
      </c>
      <c r="AB71" s="113">
        <v>-159.57191616052728</v>
      </c>
      <c r="AC71" s="26"/>
      <c r="AD71" s="26"/>
    </row>
    <row r="72" spans="1:30" ht="17.25" customHeight="1" x14ac:dyDescent="0.25">
      <c r="D72" s="9"/>
      <c r="E72" s="9"/>
      <c r="F72" s="11"/>
      <c r="G72" s="11"/>
      <c r="H72" s="11"/>
      <c r="I72" s="11"/>
      <c r="J72" s="11"/>
      <c r="K72" s="11"/>
      <c r="L72" s="11"/>
      <c r="M72" s="11"/>
      <c r="N72" s="11"/>
      <c r="O72" s="11"/>
      <c r="P72" s="11"/>
      <c r="Q72" s="11"/>
      <c r="R72" s="11"/>
      <c r="S72" s="11"/>
      <c r="T72" s="11"/>
      <c r="U72" s="11"/>
      <c r="V72" s="11"/>
      <c r="W72" s="11"/>
      <c r="X72" s="11"/>
      <c r="Y72" s="11"/>
      <c r="Z72" s="24"/>
      <c r="AA72" s="24"/>
      <c r="AB72" s="24"/>
      <c r="AC72" s="26"/>
      <c r="AD72" s="26"/>
    </row>
    <row r="73" spans="1:30" ht="26.1" customHeight="1" x14ac:dyDescent="0.35">
      <c r="A73" s="17">
        <v>70</v>
      </c>
      <c r="B73" s="3"/>
      <c r="C73" s="5" t="s">
        <v>6</v>
      </c>
      <c r="D73" s="5"/>
      <c r="F73" s="11"/>
      <c r="G73" s="11"/>
      <c r="H73" s="11"/>
      <c r="I73" s="11"/>
      <c r="J73" s="11"/>
      <c r="K73" s="11"/>
      <c r="L73" s="11"/>
      <c r="M73" s="11"/>
      <c r="N73" s="11"/>
      <c r="O73" s="11"/>
      <c r="P73" s="11"/>
      <c r="Q73" s="11"/>
      <c r="R73" s="11"/>
      <c r="S73" s="11"/>
      <c r="T73" s="11"/>
      <c r="U73" s="11"/>
      <c r="V73" s="11"/>
      <c r="W73" s="11"/>
      <c r="X73" s="11"/>
      <c r="Y73" s="11"/>
      <c r="Z73" s="11"/>
      <c r="AA73" s="11"/>
      <c r="AB73" s="11"/>
      <c r="AC73" s="26"/>
      <c r="AD73" s="26"/>
    </row>
    <row r="74" spans="1:30" ht="18" customHeight="1" x14ac:dyDescent="0.25">
      <c r="A74" s="17">
        <v>71</v>
      </c>
      <c r="D74" s="6" t="s">
        <v>13</v>
      </c>
      <c r="E74" s="6" t="s">
        <v>35</v>
      </c>
      <c r="F74" s="12">
        <f>F75+F76+F80+F81</f>
        <v>1611.0049232965002</v>
      </c>
      <c r="G74" s="12">
        <f t="shared" ref="G74" si="198">G75+G76+G80+G81</f>
        <v>-114.58045735353059</v>
      </c>
      <c r="H74" s="12">
        <f t="shared" ref="H74" si="199">H75+H76+H80+H81</f>
        <v>1887.2368030731259</v>
      </c>
      <c r="I74" s="12">
        <f t="shared" ref="I74" si="200">I75+I76+I80+I81</f>
        <v>966.51656563944448</v>
      </c>
      <c r="J74" s="12">
        <f t="shared" ref="J74" si="201">J75+J76+J80+J81</f>
        <v>980.38512717394553</v>
      </c>
      <c r="K74" s="12">
        <f t="shared" ref="K74" si="202">K75+K76+K80+K81</f>
        <v>3444.6513886002695</v>
      </c>
      <c r="L74" s="12">
        <f t="shared" ref="L74" si="203">L75+L76+L80+L81</f>
        <v>4038.2705061104407</v>
      </c>
      <c r="M74" s="12">
        <f t="shared" ref="M74" si="204">M75+M76+M80+M81</f>
        <v>3312.5990360427509</v>
      </c>
      <c r="N74" s="12">
        <f t="shared" ref="N74" si="205">N75+N76+N80+N81</f>
        <v>5856.7079603053189</v>
      </c>
      <c r="O74" s="12">
        <f t="shared" ref="O74" si="206">O75+O76+O80+O81</f>
        <v>1299.2260690393716</v>
      </c>
      <c r="P74" s="12">
        <f t="shared" ref="P74" si="207">P75+P76+P80+P81</f>
        <v>87.494469738947686</v>
      </c>
      <c r="Q74" s="12">
        <f t="shared" ref="Q74" si="208">Q75+Q76+Q80+Q81</f>
        <v>-2596.5432628055396</v>
      </c>
      <c r="R74" s="12">
        <f t="shared" ref="R74" si="209">R75+R76+R80+R81</f>
        <v>-321.2933384397611</v>
      </c>
      <c r="S74" s="12">
        <f t="shared" ref="S74" si="210">S75+S76+S80+S81</f>
        <v>1459.8801626127786</v>
      </c>
      <c r="T74" s="12">
        <f t="shared" ref="T74" si="211">T75+T76+T80+T81</f>
        <v>1922.6821782494642</v>
      </c>
      <c r="U74" s="12">
        <f t="shared" ref="U74" si="212">U75+U76+U80+U81</f>
        <v>1957.8621711983781</v>
      </c>
      <c r="V74" s="12">
        <f t="shared" ref="V74" si="213">V75+V76+V80+V81</f>
        <v>1574.8938401982966</v>
      </c>
      <c r="W74" s="12">
        <f t="shared" ref="W74:X74" si="214">W75+W76+W80+W81</f>
        <v>4533.4627465480953</v>
      </c>
      <c r="X74" s="12">
        <f t="shared" si="214"/>
        <v>5356.383560196834</v>
      </c>
      <c r="Y74" s="20">
        <f>Y75+Y76+Y80+Y81</f>
        <v>6324.9504427717211</v>
      </c>
      <c r="Z74" s="12">
        <f t="shared" ref="Z74" si="215">Z75+Z76+Z80+Z81</f>
        <v>5318.7598448896188</v>
      </c>
      <c r="AA74" s="12">
        <f t="shared" ref="AA74:AB74" si="216">AA75+AA76+AA80+AA81</f>
        <v>6709.9243510517044</v>
      </c>
      <c r="AB74" s="12">
        <f t="shared" si="216"/>
        <v>6400.580540056043</v>
      </c>
      <c r="AC74" s="26"/>
      <c r="AD74" s="26"/>
    </row>
    <row r="75" spans="1:30" x14ac:dyDescent="0.25">
      <c r="A75" s="17">
        <v>72</v>
      </c>
      <c r="D75" s="7" t="s">
        <v>14</v>
      </c>
      <c r="E75" s="7" t="s">
        <v>23</v>
      </c>
      <c r="F75" s="14">
        <v>860.22617557282888</v>
      </c>
      <c r="G75" s="14">
        <v>-39.810121404502034</v>
      </c>
      <c r="H75" s="14">
        <v>742.36434209669801</v>
      </c>
      <c r="I75" s="14">
        <v>438.84057196394258</v>
      </c>
      <c r="J75" s="14">
        <v>-205.14383712797556</v>
      </c>
      <c r="K75" s="14">
        <v>766.05657629674477</v>
      </c>
      <c r="L75" s="14">
        <v>943.48435419940711</v>
      </c>
      <c r="M75" s="14">
        <v>1211.445183534478</v>
      </c>
      <c r="N75" s="14">
        <v>292.24559362735829</v>
      </c>
      <c r="O75" s="14">
        <v>1058.1718798734933</v>
      </c>
      <c r="P75" s="14">
        <v>-262.6015555369421</v>
      </c>
      <c r="Q75" s="14">
        <v>1109.6119062962653</v>
      </c>
      <c r="R75" s="14">
        <v>16.827084565117687</v>
      </c>
      <c r="S75" s="14">
        <v>802.9976798666886</v>
      </c>
      <c r="T75" s="14">
        <v>196.55640123887667</v>
      </c>
      <c r="U75" s="14">
        <v>1529.8318391509254</v>
      </c>
      <c r="V75" s="14">
        <v>900.81801270997528</v>
      </c>
      <c r="W75" s="14">
        <v>2163.1469611835187</v>
      </c>
      <c r="X75" s="14">
        <v>1561.4066847846277</v>
      </c>
      <c r="Y75" s="21">
        <v>2518.3112899645321</v>
      </c>
      <c r="Z75" s="14">
        <v>2339.8789806980362</v>
      </c>
      <c r="AA75" s="14">
        <v>2635.5658870975399</v>
      </c>
      <c r="AB75" s="14">
        <v>1557.8648817338872</v>
      </c>
      <c r="AC75" s="26"/>
      <c r="AD75" s="26"/>
    </row>
    <row r="76" spans="1:30" x14ac:dyDescent="0.25">
      <c r="A76" s="17">
        <v>73</v>
      </c>
      <c r="D76" s="7" t="s">
        <v>15</v>
      </c>
      <c r="E76" s="7" t="s">
        <v>0</v>
      </c>
      <c r="F76" s="14">
        <f>SUM(F77:F79)</f>
        <v>-83.154449481240249</v>
      </c>
      <c r="G76" s="14">
        <f t="shared" ref="G76" si="217">SUM(G77:G79)</f>
        <v>-165.13517903730079</v>
      </c>
      <c r="H76" s="14">
        <f t="shared" ref="H76" si="218">SUM(H77:H79)</f>
        <v>-62.668075631996878</v>
      </c>
      <c r="I76" s="14">
        <f t="shared" ref="I76" si="219">SUM(I77:I79)</f>
        <v>34.64158328663774</v>
      </c>
      <c r="J76" s="14">
        <f t="shared" ref="J76" si="220">SUM(J77:J79)</f>
        <v>-6.3691301388111734</v>
      </c>
      <c r="K76" s="14">
        <f t="shared" ref="K76" si="221">SUM(K77:K79)</f>
        <v>213.96359303107909</v>
      </c>
      <c r="L76" s="14">
        <f t="shared" ref="L76" si="222">SUM(L77:L79)</f>
        <v>134.85509186911654</v>
      </c>
      <c r="M76" s="14">
        <f t="shared" ref="M76" si="223">SUM(M77:M79)</f>
        <v>130.40739545928773</v>
      </c>
      <c r="N76" s="14">
        <f t="shared" ref="N76" si="224">SUM(N77:N79)</f>
        <v>4303.3421931204866</v>
      </c>
      <c r="O76" s="14">
        <f t="shared" ref="O76" si="225">SUM(O77:O79)</f>
        <v>-1227.4729024740916</v>
      </c>
      <c r="P76" s="14">
        <f t="shared" ref="P76" si="226">SUM(P77:P79)</f>
        <v>189.82933972906977</v>
      </c>
      <c r="Q76" s="14">
        <f t="shared" ref="Q76" si="227">SUM(Q77:Q79)</f>
        <v>-2769.0272417881674</v>
      </c>
      <c r="R76" s="14">
        <f t="shared" ref="R76" si="228">SUM(R77:R79)</f>
        <v>162.41170215659258</v>
      </c>
      <c r="S76" s="14">
        <f t="shared" ref="S76" si="229">SUM(S77:S79)</f>
        <v>103.43573357263966</v>
      </c>
      <c r="T76" s="14">
        <f t="shared" ref="T76" si="230">SUM(T77:T79)</f>
        <v>593.34044995955605</v>
      </c>
      <c r="U76" s="14">
        <f t="shared" ref="U76" si="231">SUM(U77:U79)</f>
        <v>136.21362281167089</v>
      </c>
      <c r="V76" s="14">
        <f t="shared" ref="V76" si="232">SUM(V77:V79)</f>
        <v>-175.88006990020227</v>
      </c>
      <c r="W76" s="14">
        <f t="shared" ref="W76:X76" si="233">SUM(W77:W79)</f>
        <v>199.28884810701294</v>
      </c>
      <c r="X76" s="14">
        <f t="shared" si="233"/>
        <v>420.872800551365</v>
      </c>
      <c r="Y76" s="21">
        <f>SUM(Y77:Y79)</f>
        <v>152.44713051415638</v>
      </c>
      <c r="Z76" s="14">
        <f t="shared" ref="Z76" si="234">SUM(Z77:Z79)</f>
        <v>-45.714771742082007</v>
      </c>
      <c r="AA76" s="14">
        <f t="shared" ref="AA76:AB76" si="235">SUM(AA77:AA79)</f>
        <v>136.77056592298246</v>
      </c>
      <c r="AB76" s="14">
        <f t="shared" si="235"/>
        <v>860.54304788553429</v>
      </c>
      <c r="AC76" s="26"/>
      <c r="AD76" s="26"/>
    </row>
    <row r="77" spans="1:30" x14ac:dyDescent="0.25">
      <c r="A77" s="17">
        <v>74</v>
      </c>
      <c r="D77" s="8" t="s">
        <v>26</v>
      </c>
      <c r="E77" s="8" t="s">
        <v>25</v>
      </c>
      <c r="F77" s="15">
        <v>-5.3827839999999849</v>
      </c>
      <c r="G77" s="15">
        <v>-5.2300080000000069</v>
      </c>
      <c r="H77" s="15">
        <v>-1.3634500000000003</v>
      </c>
      <c r="I77" s="15">
        <v>-7.7529609999999956</v>
      </c>
      <c r="J77" s="15">
        <v>-6.4167500000000057</v>
      </c>
      <c r="K77" s="15">
        <v>0.3413560000000011</v>
      </c>
      <c r="L77" s="15">
        <v>13.668343000000002</v>
      </c>
      <c r="M77" s="15">
        <v>-4.5158970000000096</v>
      </c>
      <c r="N77" s="15">
        <v>3896.54971286</v>
      </c>
      <c r="O77" s="15">
        <v>-1322.6399632300001</v>
      </c>
      <c r="P77" s="15">
        <v>199.17239201999496</v>
      </c>
      <c r="Q77" s="15">
        <v>-2782.5525086500002</v>
      </c>
      <c r="R77" s="15">
        <v>-2.8693569999999986</v>
      </c>
      <c r="S77" s="15">
        <v>1.5471979999999976</v>
      </c>
      <c r="T77" s="15">
        <v>7.3772310000000054</v>
      </c>
      <c r="U77" s="15">
        <v>-10.911304000000003</v>
      </c>
      <c r="V77" s="15">
        <v>-7.1528470000000013</v>
      </c>
      <c r="W77" s="15">
        <v>1.8088740000000021</v>
      </c>
      <c r="X77" s="15">
        <v>175.34283635999998</v>
      </c>
      <c r="Y77" s="22">
        <v>-27.649115160000299</v>
      </c>
      <c r="Z77" s="15">
        <v>-151.65316319999999</v>
      </c>
      <c r="AA77" s="15">
        <v>3.5916910000000022</v>
      </c>
      <c r="AB77" s="15">
        <v>813.57662803000005</v>
      </c>
      <c r="AC77" s="26"/>
      <c r="AD77" s="26"/>
    </row>
    <row r="78" spans="1:30" x14ac:dyDescent="0.25">
      <c r="A78" s="17">
        <v>75</v>
      </c>
      <c r="D78" s="8" t="s">
        <v>16</v>
      </c>
      <c r="E78" s="8" t="s">
        <v>27</v>
      </c>
      <c r="F78" s="15">
        <v>-77.771665481240262</v>
      </c>
      <c r="G78" s="15">
        <v>-159.90517103730079</v>
      </c>
      <c r="H78" s="15">
        <v>-61.304625631996878</v>
      </c>
      <c r="I78" s="15">
        <v>42.394544286637739</v>
      </c>
      <c r="J78" s="15">
        <v>4.7619861188832657E-2</v>
      </c>
      <c r="K78" s="15">
        <v>213.6222370310791</v>
      </c>
      <c r="L78" s="15">
        <v>121.18674886911654</v>
      </c>
      <c r="M78" s="15">
        <v>134.92329245928772</v>
      </c>
      <c r="N78" s="15">
        <v>406.79248026048617</v>
      </c>
      <c r="O78" s="15">
        <v>95.167060755908551</v>
      </c>
      <c r="P78" s="15">
        <v>-9.3430522909251756</v>
      </c>
      <c r="Q78" s="15">
        <v>13.525266861832744</v>
      </c>
      <c r="R78" s="15">
        <v>165.28105915659259</v>
      </c>
      <c r="S78" s="15">
        <v>101.88853557263967</v>
      </c>
      <c r="T78" s="15">
        <v>585.963218959556</v>
      </c>
      <c r="U78" s="15">
        <v>147.12492681167089</v>
      </c>
      <c r="V78" s="15">
        <v>-168.72722290020226</v>
      </c>
      <c r="W78" s="15">
        <v>197.47997410701294</v>
      </c>
      <c r="X78" s="15">
        <v>245.52996419136505</v>
      </c>
      <c r="Y78" s="22">
        <v>180.09624567415668</v>
      </c>
      <c r="Z78" s="15">
        <v>105.93839145791799</v>
      </c>
      <c r="AA78" s="15">
        <v>133.17887492298246</v>
      </c>
      <c r="AB78" s="15">
        <v>46.966419855534213</v>
      </c>
      <c r="AC78" s="26"/>
      <c r="AD78" s="26"/>
    </row>
    <row r="79" spans="1:30" x14ac:dyDescent="0.25">
      <c r="A79" s="17">
        <v>76</v>
      </c>
      <c r="D79" s="8" t="s">
        <v>17</v>
      </c>
      <c r="E79" s="8" t="s">
        <v>28</v>
      </c>
      <c r="F79" s="15">
        <v>0</v>
      </c>
      <c r="G79" s="15">
        <v>0</v>
      </c>
      <c r="H79" s="15">
        <v>0</v>
      </c>
      <c r="I79" s="15">
        <v>0</v>
      </c>
      <c r="J79" s="15">
        <v>0</v>
      </c>
      <c r="K79" s="15">
        <v>0</v>
      </c>
      <c r="L79" s="15">
        <v>0</v>
      </c>
      <c r="M79" s="15">
        <v>0</v>
      </c>
      <c r="N79" s="15">
        <v>0</v>
      </c>
      <c r="O79" s="15">
        <v>0</v>
      </c>
      <c r="P79" s="15">
        <v>0</v>
      </c>
      <c r="Q79" s="15">
        <v>0</v>
      </c>
      <c r="R79" s="15">
        <v>0</v>
      </c>
      <c r="S79" s="15">
        <v>0</v>
      </c>
      <c r="T79" s="15">
        <v>0</v>
      </c>
      <c r="U79" s="15">
        <v>0</v>
      </c>
      <c r="V79" s="15">
        <v>0</v>
      </c>
      <c r="W79" s="15">
        <v>0</v>
      </c>
      <c r="X79" s="15">
        <v>0</v>
      </c>
      <c r="Y79" s="22">
        <v>0</v>
      </c>
      <c r="Z79" s="15">
        <v>0</v>
      </c>
      <c r="AA79" s="15">
        <v>0</v>
      </c>
      <c r="AB79" s="15">
        <v>0</v>
      </c>
      <c r="AC79" s="26"/>
      <c r="AD79" s="26"/>
    </row>
    <row r="80" spans="1:30" x14ac:dyDescent="0.25">
      <c r="A80" s="17">
        <v>77</v>
      </c>
      <c r="D80" s="7" t="s">
        <v>1</v>
      </c>
      <c r="E80" s="7" t="s">
        <v>29</v>
      </c>
      <c r="F80" s="14">
        <v>-5.5576680000000005</v>
      </c>
      <c r="G80" s="14">
        <v>150.10079899999999</v>
      </c>
      <c r="H80" s="14">
        <v>92.957583999999997</v>
      </c>
      <c r="I80" s="14">
        <v>171.65789000000001</v>
      </c>
      <c r="J80" s="14">
        <v>49.973943999999975</v>
      </c>
      <c r="K80" s="14">
        <v>-7.3848569999999869</v>
      </c>
      <c r="L80" s="14">
        <v>-46.858241999999997</v>
      </c>
      <c r="M80" s="14">
        <v>240.18375700000001</v>
      </c>
      <c r="N80" s="14">
        <v>19.625198000000086</v>
      </c>
      <c r="O80" s="14">
        <v>-18.568077000000081</v>
      </c>
      <c r="P80" s="14">
        <v>12.292509000000015</v>
      </c>
      <c r="Q80" s="14">
        <v>11.93533799999998</v>
      </c>
      <c r="R80" s="14">
        <v>-19.006863999999986</v>
      </c>
      <c r="S80" s="14">
        <v>-17.793015220000026</v>
      </c>
      <c r="T80" s="14">
        <v>-18.860250430000061</v>
      </c>
      <c r="U80" s="14">
        <v>265.10452085000003</v>
      </c>
      <c r="V80" s="14">
        <v>-48.586645419999826</v>
      </c>
      <c r="W80" s="14">
        <v>-44.989821060000182</v>
      </c>
      <c r="X80" s="14">
        <v>-28.370644259999985</v>
      </c>
      <c r="Y80" s="21">
        <v>289.23517603999994</v>
      </c>
      <c r="Z80" s="14">
        <v>-72.462657659999962</v>
      </c>
      <c r="AA80" s="14">
        <v>-33.907947049999947</v>
      </c>
      <c r="AB80" s="14">
        <v>-47.443991240000088</v>
      </c>
      <c r="AC80" s="26"/>
      <c r="AD80" s="26"/>
    </row>
    <row r="81" spans="1:30" x14ac:dyDescent="0.25">
      <c r="A81" s="17">
        <v>78</v>
      </c>
      <c r="D81" s="7" t="s">
        <v>30</v>
      </c>
      <c r="E81" s="7" t="s">
        <v>31</v>
      </c>
      <c r="F81" s="14">
        <v>839.49086520491153</v>
      </c>
      <c r="G81" s="14">
        <v>-59.735955911727764</v>
      </c>
      <c r="H81" s="14">
        <v>1114.5829526084249</v>
      </c>
      <c r="I81" s="14">
        <v>321.37652038886415</v>
      </c>
      <c r="J81" s="14">
        <v>1141.9241504407323</v>
      </c>
      <c r="K81" s="14">
        <v>2472.0160762724454</v>
      </c>
      <c r="L81" s="14">
        <v>3006.7893020419174</v>
      </c>
      <c r="M81" s="14">
        <v>1730.5627000489851</v>
      </c>
      <c r="N81" s="14">
        <v>1241.4949755574744</v>
      </c>
      <c r="O81" s="14">
        <v>1487.0951686399701</v>
      </c>
      <c r="P81" s="14">
        <v>147.97417654681999</v>
      </c>
      <c r="Q81" s="14">
        <v>-949.06326531363743</v>
      </c>
      <c r="R81" s="14">
        <v>-481.52526116147135</v>
      </c>
      <c r="S81" s="14">
        <v>571.2397643934504</v>
      </c>
      <c r="T81" s="14">
        <v>1151.6455774810315</v>
      </c>
      <c r="U81" s="14">
        <v>26.712188385781918</v>
      </c>
      <c r="V81" s="14">
        <v>898.54254280852354</v>
      </c>
      <c r="W81" s="14">
        <v>2216.0167583175639</v>
      </c>
      <c r="X81" s="14">
        <v>3402.4747191208412</v>
      </c>
      <c r="Y81" s="21">
        <v>3364.9568462530324</v>
      </c>
      <c r="Z81" s="14">
        <v>3097.0582935936645</v>
      </c>
      <c r="AA81" s="14">
        <v>3971.4958450811823</v>
      </c>
      <c r="AB81" s="14">
        <v>4029.6166016766219</v>
      </c>
      <c r="AC81" s="26"/>
      <c r="AD81" s="26"/>
    </row>
    <row r="82" spans="1:30" ht="15.75" x14ac:dyDescent="0.25">
      <c r="A82" s="17">
        <v>79</v>
      </c>
      <c r="D82" s="6" t="s">
        <v>19</v>
      </c>
      <c r="E82" s="6" t="s">
        <v>22</v>
      </c>
      <c r="F82" s="12">
        <v>218.29051217523997</v>
      </c>
      <c r="G82" s="12">
        <v>-12.201482063309065</v>
      </c>
      <c r="H82" s="12">
        <v>9.8007006914038293</v>
      </c>
      <c r="I82" s="12">
        <v>9.6402809643899889</v>
      </c>
      <c r="J82" s="12">
        <v>-43.116849466362254</v>
      </c>
      <c r="K82" s="12">
        <v>-36.442107932931904</v>
      </c>
      <c r="L82" s="12">
        <v>60.360689004495981</v>
      </c>
      <c r="M82" s="12">
        <v>4.981898516187969</v>
      </c>
      <c r="N82" s="12">
        <v>-16.256278223293275</v>
      </c>
      <c r="O82" s="12">
        <v>-60.778639907527037</v>
      </c>
      <c r="P82" s="12">
        <v>62.832551058413458</v>
      </c>
      <c r="Q82" s="12">
        <v>-21.359775511004514</v>
      </c>
      <c r="R82" s="12">
        <v>7.703405726150006</v>
      </c>
      <c r="S82" s="12">
        <v>-74.823021430000011</v>
      </c>
      <c r="T82" s="12">
        <v>-40.125151963021736</v>
      </c>
      <c r="U82" s="12">
        <v>4.1321220966481995</v>
      </c>
      <c r="V82" s="12">
        <v>46.669235322899226</v>
      </c>
      <c r="W82" s="12">
        <v>-68.510225955425881</v>
      </c>
      <c r="X82" s="12">
        <v>84.236764359773076</v>
      </c>
      <c r="Y82" s="23">
        <v>20.99036692234159</v>
      </c>
      <c r="Z82" s="12">
        <v>7.7188314893175027</v>
      </c>
      <c r="AA82" s="12">
        <v>-40.163067496273783</v>
      </c>
      <c r="AB82" s="12">
        <v>71.567875368793594</v>
      </c>
      <c r="AC82" s="26"/>
      <c r="AD82" s="26"/>
    </row>
    <row r="83" spans="1:30" ht="16.5" customHeight="1" x14ac:dyDescent="0.25">
      <c r="D83" s="9"/>
      <c r="E83" s="9"/>
      <c r="F83" s="11"/>
      <c r="G83" s="11"/>
      <c r="H83" s="11"/>
      <c r="I83" s="11"/>
      <c r="J83" s="11"/>
      <c r="K83" s="11"/>
      <c r="L83" s="11"/>
      <c r="M83" s="11"/>
      <c r="N83" s="11"/>
      <c r="O83" s="11"/>
      <c r="P83" s="11"/>
      <c r="Q83" s="11"/>
      <c r="R83" s="11"/>
      <c r="S83" s="11"/>
      <c r="T83" s="11"/>
      <c r="U83" s="11"/>
      <c r="V83" s="11"/>
      <c r="W83" s="11"/>
      <c r="X83" s="11"/>
      <c r="Y83" s="24"/>
      <c r="Z83" s="24"/>
      <c r="AA83" s="24"/>
      <c r="AB83" s="24"/>
      <c r="AC83" s="26"/>
      <c r="AD83" s="26"/>
    </row>
    <row r="84" spans="1:30" ht="26.1" customHeight="1" x14ac:dyDescent="0.35">
      <c r="A84" s="17">
        <v>81</v>
      </c>
      <c r="B84" s="3"/>
      <c r="C84" s="5" t="s">
        <v>24</v>
      </c>
      <c r="D84" s="5"/>
      <c r="F84" s="11"/>
      <c r="G84" s="11"/>
      <c r="H84" s="11"/>
      <c r="I84" s="11"/>
      <c r="J84" s="11"/>
      <c r="K84" s="11"/>
      <c r="L84" s="11"/>
      <c r="M84" s="11"/>
      <c r="N84" s="11"/>
      <c r="O84" s="11"/>
      <c r="P84" s="11"/>
      <c r="Q84" s="11"/>
      <c r="R84" s="11"/>
      <c r="S84" s="11"/>
      <c r="T84" s="11"/>
      <c r="U84" s="11"/>
      <c r="V84" s="11"/>
      <c r="W84" s="11"/>
      <c r="X84" s="11"/>
      <c r="Y84" s="11"/>
      <c r="Z84" s="11"/>
      <c r="AA84" s="11"/>
      <c r="AB84" s="11"/>
      <c r="AC84" s="26"/>
      <c r="AD84" s="26"/>
    </row>
    <row r="85" spans="1:30" ht="18" customHeight="1" x14ac:dyDescent="0.25">
      <c r="A85" s="17">
        <v>82</v>
      </c>
      <c r="D85" s="6" t="s">
        <v>13</v>
      </c>
      <c r="E85" s="6" t="s">
        <v>35</v>
      </c>
      <c r="F85" s="12">
        <f>F86+F87+F91+F92</f>
        <v>1.9292499794460873</v>
      </c>
      <c r="G85" s="12">
        <f t="shared" ref="G85" si="236">G86+G87+G91+G92</f>
        <v>-1.3914321786749191</v>
      </c>
      <c r="H85" s="12">
        <f t="shared" ref="H85" si="237">H86+H87+H91+H92</f>
        <v>-2.0656797829630316</v>
      </c>
      <c r="I85" s="12">
        <f t="shared" ref="I85" si="238">I86+I87+I91+I92</f>
        <v>-19.802850751677262</v>
      </c>
      <c r="J85" s="12">
        <f t="shared" ref="J85" si="239">J86+J87+J91+J92</f>
        <v>2.7566268804334308</v>
      </c>
      <c r="K85" s="12">
        <f t="shared" ref="K85" si="240">K86+K87+K91+K92</f>
        <v>17.870157353374537</v>
      </c>
      <c r="L85" s="12">
        <f t="shared" ref="L85" si="241">L86+L87+L91+L92</f>
        <v>15.323106906899501</v>
      </c>
      <c r="M85" s="12">
        <f t="shared" ref="M85" si="242">M86+M87+M91+M92</f>
        <v>-124.99215598942195</v>
      </c>
      <c r="N85" s="12">
        <f t="shared" ref="N85" si="243">N86+N87+N91+N92</f>
        <v>9.1908166760023224</v>
      </c>
      <c r="O85" s="12">
        <f t="shared" ref="O85" si="244">O86+O87+O91+O92</f>
        <v>5.708820168086687</v>
      </c>
      <c r="P85" s="12">
        <f t="shared" ref="P85" si="245">P86+P87+P91+P92</f>
        <v>-6.7476548452035221</v>
      </c>
      <c r="Q85" s="12">
        <f t="shared" ref="Q85" si="246">Q86+Q87+Q91+Q92</f>
        <v>-8.8716463892927671</v>
      </c>
      <c r="R85" s="12">
        <f t="shared" ref="R85" si="247">R86+R87+R91+R92</f>
        <v>11.198018798407833</v>
      </c>
      <c r="S85" s="12">
        <f t="shared" ref="S85" si="248">S86+S87+S91+S92</f>
        <v>-2.2829256696861693</v>
      </c>
      <c r="T85" s="12">
        <f t="shared" ref="T85" si="249">T86+T87+T91+T92</f>
        <v>4.975869361637633</v>
      </c>
      <c r="U85" s="12">
        <f t="shared" ref="U85" si="250">U86+U87+U91+U92</f>
        <v>-12.311298049100632</v>
      </c>
      <c r="V85" s="12">
        <f t="shared" ref="V85" si="251">V86+V87+V91+V92</f>
        <v>1.76591160073003</v>
      </c>
      <c r="W85" s="12">
        <f t="shared" ref="W85:X85" si="252">W86+W87+W91+W92</f>
        <v>-2.4957857522047022</v>
      </c>
      <c r="X85" s="12">
        <f t="shared" si="252"/>
        <v>-2.8161841899996429</v>
      </c>
      <c r="Y85" s="12">
        <f>Y86+Y87+Y91+Y92</f>
        <v>-10.018302422377062</v>
      </c>
      <c r="Z85" s="12">
        <f t="shared" ref="Z85" si="253">Z86+Z87+Z91+Z92</f>
        <v>35.175080522484606</v>
      </c>
      <c r="AA85" s="12">
        <f t="shared" ref="AA85:AB85" si="254">AA86+AA87+AA91+AA92</f>
        <v>-5.8565978297367245</v>
      </c>
      <c r="AB85" s="12">
        <f t="shared" si="254"/>
        <v>-4.3273958243520312</v>
      </c>
      <c r="AC85" s="26"/>
      <c r="AD85" s="26"/>
    </row>
    <row r="86" spans="1:30" x14ac:dyDescent="0.25">
      <c r="A86" s="17">
        <v>83</v>
      </c>
      <c r="D86" s="7" t="s">
        <v>14</v>
      </c>
      <c r="E86" s="7" t="s">
        <v>23</v>
      </c>
      <c r="F86" s="15">
        <v>2.7301549794460875</v>
      </c>
      <c r="G86" s="15">
        <v>-1.076147178674919</v>
      </c>
      <c r="H86" s="15">
        <v>-1.0252237829630317</v>
      </c>
      <c r="I86" s="15">
        <v>-36.219050751677258</v>
      </c>
      <c r="J86" s="15">
        <v>1.5566268804334307</v>
      </c>
      <c r="K86" s="15">
        <v>3.49777435337454</v>
      </c>
      <c r="L86" s="15">
        <v>15.323106906899501</v>
      </c>
      <c r="M86" s="15">
        <v>3.1295610105780414</v>
      </c>
      <c r="N86" s="15">
        <v>9.1908166760023224</v>
      </c>
      <c r="O86" s="15">
        <v>5.4869331680866873</v>
      </c>
      <c r="P86" s="15">
        <v>-5.6392708452035221</v>
      </c>
      <c r="Q86" s="15">
        <v>-13.979789389292767</v>
      </c>
      <c r="R86" s="15">
        <v>14.935376798407834</v>
      </c>
      <c r="S86" s="15">
        <v>-2.0403856696861693</v>
      </c>
      <c r="T86" s="15">
        <v>-7.3406383623675353E-3</v>
      </c>
      <c r="U86" s="15">
        <v>-6.6514130491006318</v>
      </c>
      <c r="V86" s="15">
        <v>0.7947247884775992</v>
      </c>
      <c r="W86" s="15">
        <v>-2.5687867522047023</v>
      </c>
      <c r="X86" s="15">
        <v>-2.991805189999643</v>
      </c>
      <c r="Y86" s="15">
        <v>-10.043771071061174</v>
      </c>
      <c r="Z86" s="15">
        <v>-2.1219524775153964</v>
      </c>
      <c r="AA86" s="15">
        <v>-7.5461626497367247</v>
      </c>
      <c r="AB86" s="15">
        <v>-4.7663958243520312</v>
      </c>
      <c r="AC86" s="26"/>
      <c r="AD86" s="26"/>
    </row>
    <row r="87" spans="1:30" x14ac:dyDescent="0.25">
      <c r="A87" s="17">
        <v>84</v>
      </c>
      <c r="D87" s="7" t="s">
        <v>15</v>
      </c>
      <c r="E87" s="7" t="s">
        <v>0</v>
      </c>
      <c r="F87" s="14">
        <f>SUM(F88:F90)</f>
        <v>-0.8009050000000002</v>
      </c>
      <c r="G87" s="14">
        <f t="shared" ref="G87" si="255">SUM(G88:G90)</f>
        <v>-0.31528500000000004</v>
      </c>
      <c r="H87" s="14">
        <f t="shared" ref="H87" si="256">SUM(H88:H90)</f>
        <v>-1.040456</v>
      </c>
      <c r="I87" s="14">
        <f t="shared" ref="I87" si="257">SUM(I88:I90)</f>
        <v>16.416199999999996</v>
      </c>
      <c r="J87" s="14">
        <f t="shared" ref="J87" si="258">SUM(J88:J90)</f>
        <v>1.2</v>
      </c>
      <c r="K87" s="14">
        <f t="shared" ref="K87" si="259">SUM(K88:K90)</f>
        <v>14.372382999999999</v>
      </c>
      <c r="L87" s="14">
        <f t="shared" ref="L87" si="260">SUM(L88:L90)</f>
        <v>0</v>
      </c>
      <c r="M87" s="14">
        <f t="shared" ref="M87" si="261">SUM(M88:M90)</f>
        <v>-128.12171699999999</v>
      </c>
      <c r="N87" s="14">
        <f t="shared" ref="N87" si="262">SUM(N88:N90)</f>
        <v>0</v>
      </c>
      <c r="O87" s="14">
        <f t="shared" ref="O87" si="263">SUM(O88:O90)</f>
        <v>0.22188700000000017</v>
      </c>
      <c r="P87" s="14">
        <f t="shared" ref="P87" si="264">SUM(P88:P90)</f>
        <v>-1.108384</v>
      </c>
      <c r="Q87" s="14">
        <f t="shared" ref="Q87" si="265">SUM(Q88:Q90)</f>
        <v>5.1081430000000001</v>
      </c>
      <c r="R87" s="14">
        <f t="shared" ref="R87" si="266">SUM(R88:R90)</f>
        <v>-3.737358</v>
      </c>
      <c r="S87" s="14">
        <f t="shared" ref="S87" si="267">SUM(S88:S90)</f>
        <v>-0.24253999999999998</v>
      </c>
      <c r="T87" s="14">
        <f t="shared" ref="T87" si="268">SUM(T88:T90)</f>
        <v>4.9832100000000006</v>
      </c>
      <c r="U87" s="14">
        <f t="shared" ref="U87" si="269">SUM(U88:U90)</f>
        <v>-5.6598850000000009</v>
      </c>
      <c r="V87" s="14">
        <f t="shared" ref="V87" si="270">SUM(V88:V90)</f>
        <v>0.97118681225243075</v>
      </c>
      <c r="W87" s="14">
        <f t="shared" ref="W87:X87" si="271">SUM(W88:W90)</f>
        <v>7.3000999999999969E-2</v>
      </c>
      <c r="X87" s="14">
        <f t="shared" si="271"/>
        <v>0.17562100000000003</v>
      </c>
      <c r="Y87" s="14">
        <f t="shared" ref="Y87:Z87" si="272">SUM(Y88:Y90)</f>
        <v>2.5468648684113027E-2</v>
      </c>
      <c r="Z87" s="14">
        <f t="shared" si="272"/>
        <v>37.297032999999999</v>
      </c>
      <c r="AA87" s="14">
        <f t="shared" ref="AA87:AB87" si="273">SUM(AA88:AA90)</f>
        <v>1.6895648200000002</v>
      </c>
      <c r="AB87" s="14">
        <f t="shared" si="273"/>
        <v>0.43900000000000006</v>
      </c>
      <c r="AC87" s="26"/>
      <c r="AD87" s="26"/>
    </row>
    <row r="88" spans="1:30" x14ac:dyDescent="0.25">
      <c r="A88" s="17">
        <v>85</v>
      </c>
      <c r="D88" s="8" t="s">
        <v>26</v>
      </c>
      <c r="E88" s="8" t="s">
        <v>25</v>
      </c>
      <c r="F88" s="15">
        <v>0</v>
      </c>
      <c r="G88" s="15">
        <v>0</v>
      </c>
      <c r="H88" s="15">
        <v>0</v>
      </c>
      <c r="I88" s="15">
        <v>0</v>
      </c>
      <c r="J88" s="15">
        <v>0</v>
      </c>
      <c r="K88" s="15">
        <v>0</v>
      </c>
      <c r="L88" s="15">
        <v>0</v>
      </c>
      <c r="M88" s="15">
        <v>0</v>
      </c>
      <c r="N88" s="15">
        <v>0</v>
      </c>
      <c r="O88" s="15">
        <v>0</v>
      </c>
      <c r="P88" s="15">
        <v>0</v>
      </c>
      <c r="Q88" s="15">
        <v>1.3</v>
      </c>
      <c r="R88" s="15">
        <v>0</v>
      </c>
      <c r="S88" s="15">
        <v>-0.354182</v>
      </c>
      <c r="T88" s="15">
        <v>4.9832100000000006</v>
      </c>
      <c r="U88" s="15">
        <v>-5.8624950000000009</v>
      </c>
      <c r="V88" s="15">
        <v>0.93369999999999997</v>
      </c>
      <c r="W88" s="15">
        <v>-1.5800000000000036E-2</v>
      </c>
      <c r="X88" s="15">
        <v>-1.3931</v>
      </c>
      <c r="Y88" s="15">
        <v>0</v>
      </c>
      <c r="Z88" s="15">
        <v>39.334780000000002</v>
      </c>
      <c r="AA88" s="15">
        <v>0</v>
      </c>
      <c r="AB88" s="15">
        <v>0</v>
      </c>
      <c r="AC88" s="26"/>
      <c r="AD88" s="26"/>
    </row>
    <row r="89" spans="1:30" x14ac:dyDescent="0.25">
      <c r="A89" s="17">
        <v>86</v>
      </c>
      <c r="D89" s="8" t="s">
        <v>16</v>
      </c>
      <c r="E89" s="8" t="s">
        <v>27</v>
      </c>
      <c r="F89" s="15">
        <v>5.9103742400803618</v>
      </c>
      <c r="G89" s="15">
        <v>-0.77848529093910446</v>
      </c>
      <c r="H89" s="15">
        <v>-0.36725767604263487</v>
      </c>
      <c r="I89" s="15">
        <v>17.528373679794903</v>
      </c>
      <c r="J89" s="15">
        <v>0.83458372562233474</v>
      </c>
      <c r="K89" s="15">
        <v>14.588123359500955</v>
      </c>
      <c r="L89" s="15">
        <v>2.4749030679547328</v>
      </c>
      <c r="M89" s="15">
        <v>-127.6266530340426</v>
      </c>
      <c r="N89" s="15">
        <v>0</v>
      </c>
      <c r="O89" s="15">
        <v>-2.3467450016579829</v>
      </c>
      <c r="P89" s="15">
        <v>-1.3762209785490152</v>
      </c>
      <c r="Q89" s="15">
        <v>7.7390490072379325</v>
      </c>
      <c r="R89" s="15">
        <v>-3.2543149774864992</v>
      </c>
      <c r="S89" s="15">
        <v>0.47237096714899107</v>
      </c>
      <c r="T89" s="15">
        <v>-0.13861001585151644</v>
      </c>
      <c r="U89" s="15">
        <v>0.5403590345893301</v>
      </c>
      <c r="V89" s="15">
        <v>-6.9260609681895291E-2</v>
      </c>
      <c r="W89" s="15">
        <v>3.7370573362038736E-2</v>
      </c>
      <c r="X89" s="15">
        <v>1.3616224980880327</v>
      </c>
      <c r="Y89" s="15">
        <v>0.46039200000000002</v>
      </c>
      <c r="Z89" s="15">
        <v>-2.1813093979211264</v>
      </c>
      <c r="AA89" s="15">
        <v>1.6482720022355988</v>
      </c>
      <c r="AB89" s="15">
        <v>1.221912539568784</v>
      </c>
      <c r="AC89" s="26"/>
      <c r="AD89" s="26"/>
    </row>
    <row r="90" spans="1:30" x14ac:dyDescent="0.25">
      <c r="A90" s="17">
        <v>87</v>
      </c>
      <c r="D90" s="8" t="s">
        <v>17</v>
      </c>
      <c r="E90" s="8" t="s">
        <v>28</v>
      </c>
      <c r="F90" s="15">
        <v>-6.711279240080362</v>
      </c>
      <c r="G90" s="15">
        <v>0.46320029093910442</v>
      </c>
      <c r="H90" s="15">
        <v>-0.67319832395736512</v>
      </c>
      <c r="I90" s="15">
        <v>-1.1121736797949051</v>
      </c>
      <c r="J90" s="15">
        <v>0.36541627437766522</v>
      </c>
      <c r="K90" s="15">
        <v>-0.21574035950095549</v>
      </c>
      <c r="L90" s="15">
        <v>-2.4749030679547328</v>
      </c>
      <c r="M90" s="15">
        <v>-0.49506396595737989</v>
      </c>
      <c r="N90" s="15">
        <v>0</v>
      </c>
      <c r="O90" s="15">
        <v>2.5686320016579831</v>
      </c>
      <c r="P90" s="15">
        <v>0.26783697854901511</v>
      </c>
      <c r="Q90" s="15">
        <v>-3.9309060072379332</v>
      </c>
      <c r="R90" s="15">
        <v>-0.48304302251350073</v>
      </c>
      <c r="S90" s="15">
        <v>-0.36072896714899105</v>
      </c>
      <c r="T90" s="15">
        <v>0.13861001585151644</v>
      </c>
      <c r="U90" s="15">
        <v>-0.33774903458933014</v>
      </c>
      <c r="V90" s="15">
        <v>0.10674742193432607</v>
      </c>
      <c r="W90" s="15">
        <v>5.1430426637961268E-2</v>
      </c>
      <c r="X90" s="15">
        <v>0.20709850191196733</v>
      </c>
      <c r="Y90" s="15">
        <v>-0.434923351315887</v>
      </c>
      <c r="Z90" s="15">
        <v>0.14356239792112646</v>
      </c>
      <c r="AA90" s="15">
        <v>4.1292817764401413E-2</v>
      </c>
      <c r="AB90" s="15">
        <v>-0.78291253956878393</v>
      </c>
      <c r="AC90" s="26"/>
      <c r="AD90" s="26"/>
    </row>
    <row r="91" spans="1:30" x14ac:dyDescent="0.25">
      <c r="A91" s="17">
        <v>88</v>
      </c>
      <c r="D91" s="7" t="s">
        <v>1</v>
      </c>
      <c r="E91" s="7" t="s">
        <v>29</v>
      </c>
      <c r="F91" s="14">
        <v>0</v>
      </c>
      <c r="G91" s="14">
        <v>0</v>
      </c>
      <c r="H91" s="14">
        <v>0</v>
      </c>
      <c r="I91" s="14">
        <v>0</v>
      </c>
      <c r="J91" s="14">
        <v>0</v>
      </c>
      <c r="K91" s="14">
        <v>0</v>
      </c>
      <c r="L91" s="14">
        <v>0</v>
      </c>
      <c r="M91" s="14">
        <v>0</v>
      </c>
      <c r="N91" s="14">
        <v>0</v>
      </c>
      <c r="O91" s="14">
        <v>0</v>
      </c>
      <c r="P91" s="14">
        <v>0</v>
      </c>
      <c r="Q91" s="14">
        <v>0</v>
      </c>
      <c r="R91" s="14">
        <v>0</v>
      </c>
      <c r="S91" s="14">
        <v>0</v>
      </c>
      <c r="T91" s="14">
        <v>0</v>
      </c>
      <c r="U91" s="14">
        <v>0</v>
      </c>
      <c r="V91" s="14">
        <v>0</v>
      </c>
      <c r="W91" s="14">
        <v>0</v>
      </c>
      <c r="X91" s="14">
        <v>0</v>
      </c>
      <c r="Y91" s="14">
        <v>0</v>
      </c>
      <c r="Z91" s="14">
        <v>0</v>
      </c>
      <c r="AA91" s="14">
        <v>0</v>
      </c>
      <c r="AB91" s="14">
        <v>0</v>
      </c>
      <c r="AC91" s="26"/>
      <c r="AD91" s="26"/>
    </row>
    <row r="92" spans="1:30" x14ac:dyDescent="0.25">
      <c r="A92" s="17">
        <v>89</v>
      </c>
      <c r="D92" s="7" t="s">
        <v>30</v>
      </c>
      <c r="E92" s="7" t="s">
        <v>31</v>
      </c>
      <c r="F92" s="14">
        <v>0</v>
      </c>
      <c r="G92" s="14">
        <v>0</v>
      </c>
      <c r="H92" s="14">
        <v>0</v>
      </c>
      <c r="I92" s="14">
        <v>0</v>
      </c>
      <c r="J92" s="14">
        <v>0</v>
      </c>
      <c r="K92" s="14">
        <v>0</v>
      </c>
      <c r="L92" s="14">
        <v>0</v>
      </c>
      <c r="M92" s="14">
        <v>0</v>
      </c>
      <c r="N92" s="14">
        <v>0</v>
      </c>
      <c r="O92" s="14">
        <v>0</v>
      </c>
      <c r="P92" s="14">
        <v>0</v>
      </c>
      <c r="Q92" s="14">
        <v>0</v>
      </c>
      <c r="R92" s="14">
        <v>0</v>
      </c>
      <c r="S92" s="14">
        <v>0</v>
      </c>
      <c r="T92" s="14">
        <v>0</v>
      </c>
      <c r="U92" s="14">
        <v>0</v>
      </c>
      <c r="V92" s="14">
        <v>0</v>
      </c>
      <c r="W92" s="14">
        <v>0</v>
      </c>
      <c r="X92" s="14">
        <v>0</v>
      </c>
      <c r="Y92" s="14">
        <v>0</v>
      </c>
      <c r="Z92" s="14">
        <v>0</v>
      </c>
      <c r="AA92" s="14">
        <v>0</v>
      </c>
      <c r="AB92" s="14">
        <v>0</v>
      </c>
      <c r="AC92" s="26"/>
      <c r="AD92" s="26"/>
    </row>
    <row r="93" spans="1:30" ht="15.75" x14ac:dyDescent="0.25">
      <c r="A93" s="17">
        <v>90</v>
      </c>
      <c r="D93" s="6" t="s">
        <v>19</v>
      </c>
      <c r="E93" s="6" t="s">
        <v>22</v>
      </c>
      <c r="F93" s="12">
        <v>3.6843515911530282E-4</v>
      </c>
      <c r="G93" s="12">
        <v>3.7748912058623865E-2</v>
      </c>
      <c r="H93" s="12">
        <v>22.98423652730057</v>
      </c>
      <c r="I93" s="12">
        <v>1.1062015304386715E-3</v>
      </c>
      <c r="J93" s="12">
        <v>-4.306194408230433E-4</v>
      </c>
      <c r="K93" s="12">
        <v>-5.0423368557721129E-2</v>
      </c>
      <c r="L93" s="12">
        <v>-6.5311921921600154E-4</v>
      </c>
      <c r="M93" s="12">
        <v>1.6897005194897161E-2</v>
      </c>
      <c r="N93" s="12">
        <v>3.7800038896888875E-4</v>
      </c>
      <c r="O93" s="12">
        <v>0.1462793114484858</v>
      </c>
      <c r="P93" s="12">
        <v>4.1242776747498953</v>
      </c>
      <c r="Q93" s="12">
        <v>1.3437122711865319</v>
      </c>
      <c r="R93" s="12">
        <v>3.7097730620890497</v>
      </c>
      <c r="S93" s="12">
        <v>0.35062156279814527</v>
      </c>
      <c r="T93" s="12">
        <v>5.8154922787576391</v>
      </c>
      <c r="U93" s="12">
        <v>-1.4051248763179958</v>
      </c>
      <c r="V93" s="12">
        <v>-8.4928161998132108</v>
      </c>
      <c r="W93" s="12">
        <v>11.332555030679465</v>
      </c>
      <c r="X93" s="12">
        <v>0.20473577900829859</v>
      </c>
      <c r="Y93" s="12">
        <v>2.8115829981071645</v>
      </c>
      <c r="Z93" s="12">
        <v>0.25232340228539729</v>
      </c>
      <c r="AA93" s="12">
        <v>-4.5363661250394736E-3</v>
      </c>
      <c r="AB93" s="12">
        <v>-110.82922338601196</v>
      </c>
      <c r="AC93" s="26"/>
      <c r="AD93" s="26"/>
    </row>
    <row r="94" spans="1:30" ht="9" customHeight="1" x14ac:dyDescent="0.25">
      <c r="A94" s="17">
        <v>91</v>
      </c>
      <c r="D94" s="9"/>
      <c r="E94" s="9"/>
      <c r="F94" s="11">
        <v>0</v>
      </c>
      <c r="G94" s="11">
        <v>0</v>
      </c>
      <c r="H94" s="11">
        <v>0</v>
      </c>
      <c r="I94" s="11">
        <v>0</v>
      </c>
      <c r="J94" s="11">
        <v>0</v>
      </c>
      <c r="K94" s="11">
        <v>0</v>
      </c>
      <c r="L94" s="11">
        <v>0</v>
      </c>
      <c r="M94" s="11">
        <v>0</v>
      </c>
      <c r="N94" s="11">
        <v>0</v>
      </c>
      <c r="O94" s="11">
        <v>0</v>
      </c>
      <c r="P94" s="11">
        <v>0</v>
      </c>
      <c r="Q94" s="11">
        <v>0</v>
      </c>
      <c r="R94" s="11">
        <v>0</v>
      </c>
      <c r="S94" s="11">
        <v>0</v>
      </c>
      <c r="T94" s="11">
        <v>0</v>
      </c>
      <c r="U94" s="11">
        <v>0</v>
      </c>
      <c r="V94" s="11">
        <v>0</v>
      </c>
      <c r="W94" s="11">
        <v>0</v>
      </c>
      <c r="X94" s="11">
        <v>0</v>
      </c>
      <c r="Y94" s="11">
        <v>0</v>
      </c>
      <c r="Z94" s="11">
        <v>0</v>
      </c>
      <c r="AA94" s="11">
        <v>0</v>
      </c>
      <c r="AB94" s="11">
        <v>0</v>
      </c>
      <c r="AC94" s="26"/>
      <c r="AD94" s="26"/>
    </row>
    <row r="95" spans="1:30" ht="35.1" customHeight="1" x14ac:dyDescent="0.35">
      <c r="A95" s="17">
        <v>92</v>
      </c>
      <c r="B95" s="10" t="s">
        <v>58</v>
      </c>
      <c r="C95" s="3"/>
      <c r="D95" s="3"/>
      <c r="F95" s="11"/>
      <c r="G95" s="11"/>
      <c r="H95" s="11"/>
      <c r="I95" s="11"/>
      <c r="J95" s="11"/>
      <c r="K95" s="11"/>
      <c r="L95" s="11"/>
      <c r="M95" s="11"/>
      <c r="N95" s="11"/>
      <c r="O95" s="11"/>
      <c r="P95" s="11"/>
      <c r="Q95" s="11"/>
      <c r="R95" s="11"/>
      <c r="S95" s="11"/>
      <c r="T95" s="11"/>
      <c r="U95" s="11"/>
      <c r="V95" s="11"/>
      <c r="W95" s="11"/>
      <c r="X95" s="11"/>
      <c r="Y95" s="11"/>
      <c r="Z95" s="11"/>
      <c r="AA95" s="11"/>
      <c r="AB95" s="11"/>
      <c r="AC95" s="26"/>
      <c r="AD95" s="26"/>
    </row>
    <row r="96" spans="1:30" ht="26.1" customHeight="1" x14ac:dyDescent="0.35">
      <c r="A96" s="17">
        <v>93</v>
      </c>
      <c r="B96" s="3"/>
      <c r="C96" s="5" t="s">
        <v>10</v>
      </c>
      <c r="D96" s="5"/>
      <c r="F96" s="16"/>
      <c r="G96" s="16"/>
      <c r="H96" s="16"/>
      <c r="I96" s="16"/>
      <c r="J96" s="16"/>
      <c r="K96" s="16"/>
      <c r="L96" s="16"/>
      <c r="M96" s="16"/>
      <c r="N96" s="16"/>
      <c r="O96" s="16"/>
      <c r="P96" s="16"/>
      <c r="Q96" s="16"/>
      <c r="R96" s="16"/>
      <c r="S96" s="16"/>
      <c r="T96" s="16"/>
      <c r="U96" s="16"/>
      <c r="V96" s="16"/>
      <c r="W96" s="16"/>
      <c r="X96" s="16"/>
      <c r="Y96" s="16"/>
      <c r="Z96" s="16"/>
      <c r="AA96" s="16"/>
      <c r="AB96" s="16"/>
      <c r="AC96" s="26"/>
      <c r="AD96" s="26"/>
    </row>
    <row r="97" spans="1:30" ht="18" customHeight="1" x14ac:dyDescent="0.25">
      <c r="A97" s="17">
        <v>94</v>
      </c>
      <c r="D97" s="6" t="s">
        <v>13</v>
      </c>
      <c r="E97" s="6" t="s">
        <v>35</v>
      </c>
      <c r="F97" s="12">
        <f>F98+F99+F103+F104</f>
        <v>341.43355802958706</v>
      </c>
      <c r="G97" s="12">
        <f t="shared" ref="G97:W97" si="274">G98+G99+G103+G104</f>
        <v>-3071.9628268996098</v>
      </c>
      <c r="H97" s="12">
        <f t="shared" si="274"/>
        <v>2009.005660519739</v>
      </c>
      <c r="I97" s="12">
        <f t="shared" si="274"/>
        <v>2118.1202473588851</v>
      </c>
      <c r="J97" s="12">
        <f t="shared" si="274"/>
        <v>-1382.5653683191001</v>
      </c>
      <c r="K97" s="12">
        <f t="shared" si="274"/>
        <v>-923.2378962797203</v>
      </c>
      <c r="L97" s="12">
        <f t="shared" si="274"/>
        <v>1840.507447299417</v>
      </c>
      <c r="M97" s="12">
        <f t="shared" si="274"/>
        <v>784.49111952081898</v>
      </c>
      <c r="N97" s="12">
        <f t="shared" si="274"/>
        <v>2249.5656984400102</v>
      </c>
      <c r="O97" s="12">
        <f t="shared" si="274"/>
        <v>3012.9273919716602</v>
      </c>
      <c r="P97" s="12">
        <f t="shared" si="274"/>
        <v>9783.7205937803392</v>
      </c>
      <c r="Q97" s="12">
        <f t="shared" si="274"/>
        <v>-763.09733414512016</v>
      </c>
      <c r="R97" s="12">
        <f t="shared" si="274"/>
        <v>1176.9252967614198</v>
      </c>
      <c r="S97" s="12">
        <f t="shared" si="274"/>
        <v>1753.8829046986505</v>
      </c>
      <c r="T97" s="12">
        <f t="shared" si="274"/>
        <v>-127.69880413747005</v>
      </c>
      <c r="U97" s="12">
        <f t="shared" si="274"/>
        <v>1334.2222747980418</v>
      </c>
      <c r="V97" s="12">
        <f t="shared" si="274"/>
        <v>-404.28008309869307</v>
      </c>
      <c r="W97" s="12">
        <f t="shared" si="274"/>
        <v>289.66525377028012</v>
      </c>
      <c r="X97" s="12">
        <f t="shared" ref="X97:Y97" si="275">X98+X99+X103+X104</f>
        <v>-2338.1112586373097</v>
      </c>
      <c r="Y97" s="12">
        <f t="shared" si="275"/>
        <v>-3126.3801461405405</v>
      </c>
      <c r="Z97" s="12">
        <f t="shared" ref="Z97" si="276">Z98+Z99+Z103+Z104</f>
        <v>-3543.3764072993881</v>
      </c>
      <c r="AA97" s="12">
        <f t="shared" ref="AA97:AB97" si="277">AA98+AA99+AA103+AA104</f>
        <v>-443.29844994046033</v>
      </c>
      <c r="AB97" s="12">
        <f t="shared" si="277"/>
        <v>1320.8849809994704</v>
      </c>
      <c r="AC97" s="26"/>
      <c r="AD97" s="26"/>
    </row>
    <row r="98" spans="1:30" x14ac:dyDescent="0.25">
      <c r="A98" s="17">
        <v>95</v>
      </c>
      <c r="D98" s="7" t="s">
        <v>14</v>
      </c>
      <c r="E98" s="7" t="s">
        <v>23</v>
      </c>
      <c r="F98" s="14">
        <v>0</v>
      </c>
      <c r="G98" s="14">
        <v>0</v>
      </c>
      <c r="H98" s="14">
        <v>0</v>
      </c>
      <c r="I98" s="14">
        <v>0</v>
      </c>
      <c r="J98" s="14">
        <v>0</v>
      </c>
      <c r="K98" s="14">
        <v>0</v>
      </c>
      <c r="L98" s="14">
        <v>0</v>
      </c>
      <c r="M98" s="14">
        <v>0</v>
      </c>
      <c r="N98" s="14">
        <v>0</v>
      </c>
      <c r="O98" s="14">
        <v>0</v>
      </c>
      <c r="P98" s="14">
        <v>0</v>
      </c>
      <c r="Q98" s="14">
        <v>0</v>
      </c>
      <c r="R98" s="14">
        <v>0</v>
      </c>
      <c r="S98" s="14">
        <v>0</v>
      </c>
      <c r="T98" s="14">
        <v>0</v>
      </c>
      <c r="U98" s="14">
        <v>0</v>
      </c>
      <c r="V98" s="14">
        <v>0</v>
      </c>
      <c r="W98" s="14">
        <v>0</v>
      </c>
      <c r="X98" s="14">
        <v>0</v>
      </c>
      <c r="Y98" s="14">
        <v>0</v>
      </c>
      <c r="Z98" s="14">
        <v>0</v>
      </c>
      <c r="AA98" s="14">
        <v>0</v>
      </c>
      <c r="AB98" s="14">
        <v>0</v>
      </c>
      <c r="AC98" s="26"/>
      <c r="AD98" s="26"/>
    </row>
    <row r="99" spans="1:30" x14ac:dyDescent="0.25">
      <c r="A99" s="17">
        <v>96</v>
      </c>
      <c r="D99" s="7" t="s">
        <v>15</v>
      </c>
      <c r="E99" s="7" t="s">
        <v>0</v>
      </c>
      <c r="F99" s="14">
        <f>SUM(F100:F102)</f>
        <v>341.43355802958706</v>
      </c>
      <c r="G99" s="14">
        <f t="shared" ref="G99:W99" si="278">SUM(G100:G102)</f>
        <v>-3071.9628268996098</v>
      </c>
      <c r="H99" s="14">
        <f t="shared" si="278"/>
        <v>2009.005660519739</v>
      </c>
      <c r="I99" s="14">
        <f t="shared" si="278"/>
        <v>2118.1202473588851</v>
      </c>
      <c r="J99" s="14">
        <f t="shared" si="278"/>
        <v>-1382.5653683191001</v>
      </c>
      <c r="K99" s="14">
        <f t="shared" si="278"/>
        <v>-923.2378962797203</v>
      </c>
      <c r="L99" s="14">
        <f t="shared" si="278"/>
        <v>1840.507447299417</v>
      </c>
      <c r="M99" s="14">
        <f t="shared" si="278"/>
        <v>784.49111952081898</v>
      </c>
      <c r="N99" s="14">
        <f t="shared" si="278"/>
        <v>2249.5656984400102</v>
      </c>
      <c r="O99" s="14">
        <f t="shared" si="278"/>
        <v>3012.9273919716602</v>
      </c>
      <c r="P99" s="14">
        <f t="shared" si="278"/>
        <v>9783.7205937803392</v>
      </c>
      <c r="Q99" s="14">
        <f t="shared" si="278"/>
        <v>-763.09733414512016</v>
      </c>
      <c r="R99" s="14">
        <f t="shared" si="278"/>
        <v>1176.9252967614198</v>
      </c>
      <c r="S99" s="14">
        <f t="shared" si="278"/>
        <v>1753.8829046986505</v>
      </c>
      <c r="T99" s="14">
        <f t="shared" si="278"/>
        <v>-127.69880413747005</v>
      </c>
      <c r="U99" s="14">
        <f t="shared" si="278"/>
        <v>1334.2222747980418</v>
      </c>
      <c r="V99" s="14">
        <f t="shared" si="278"/>
        <v>-404.28008309869307</v>
      </c>
      <c r="W99" s="14">
        <f t="shared" si="278"/>
        <v>289.66525377028012</v>
      </c>
      <c r="X99" s="14">
        <f t="shared" ref="X99:Y99" si="279">SUM(X100:X102)</f>
        <v>-2338.1112586373097</v>
      </c>
      <c r="Y99" s="14">
        <f t="shared" si="279"/>
        <v>-3126.3801461405405</v>
      </c>
      <c r="Z99" s="14">
        <f t="shared" ref="Z99" si="280">SUM(Z100:Z102)</f>
        <v>-3543.3764072993881</v>
      </c>
      <c r="AA99" s="14">
        <f t="shared" ref="AA99:AB99" si="281">SUM(AA100:AA102)</f>
        <v>-443.29844994046033</v>
      </c>
      <c r="AB99" s="14">
        <f t="shared" si="281"/>
        <v>1320.8849809994704</v>
      </c>
      <c r="AC99" s="26"/>
      <c r="AD99" s="26"/>
    </row>
    <row r="100" spans="1:30" x14ac:dyDescent="0.25">
      <c r="A100" s="17">
        <v>97</v>
      </c>
      <c r="D100" s="8" t="s">
        <v>26</v>
      </c>
      <c r="E100" s="8" t="s">
        <v>25</v>
      </c>
      <c r="F100" s="15">
        <v>341.43355802958706</v>
      </c>
      <c r="G100" s="15">
        <v>-3071.9628268996098</v>
      </c>
      <c r="H100" s="15">
        <v>2009.005660519739</v>
      </c>
      <c r="I100" s="15">
        <v>2118.1202473588851</v>
      </c>
      <c r="J100" s="15">
        <v>-1382.5653683191001</v>
      </c>
      <c r="K100" s="15">
        <v>-923.2378962797203</v>
      </c>
      <c r="L100" s="15">
        <v>1840.507447299417</v>
      </c>
      <c r="M100" s="15">
        <v>784.49111952081898</v>
      </c>
      <c r="N100" s="15">
        <v>2249.5656984400102</v>
      </c>
      <c r="O100" s="15">
        <v>3012.9273919716602</v>
      </c>
      <c r="P100" s="15">
        <v>9783.7205937803392</v>
      </c>
      <c r="Q100" s="15">
        <v>-763.09733414512016</v>
      </c>
      <c r="R100" s="15">
        <v>1176.9252967614198</v>
      </c>
      <c r="S100" s="15">
        <v>1753.8829046986505</v>
      </c>
      <c r="T100" s="15">
        <v>-127.69880413747005</v>
      </c>
      <c r="U100" s="15">
        <v>1334.2222747980418</v>
      </c>
      <c r="V100" s="15">
        <v>-404.28008309869307</v>
      </c>
      <c r="W100" s="15">
        <v>289.66525377028012</v>
      </c>
      <c r="X100" s="15">
        <v>-2338.1112586373097</v>
      </c>
      <c r="Y100" s="15">
        <v>-3126.3801461405405</v>
      </c>
      <c r="Z100" s="15">
        <v>-3543.3764072993881</v>
      </c>
      <c r="AA100" s="15">
        <v>-443.29844994046033</v>
      </c>
      <c r="AB100" s="15">
        <v>1320.8849809994704</v>
      </c>
      <c r="AC100" s="26"/>
      <c r="AD100" s="26"/>
    </row>
    <row r="101" spans="1:30" x14ac:dyDescent="0.25">
      <c r="A101" s="17">
        <v>98</v>
      </c>
      <c r="D101" s="8" t="s">
        <v>16</v>
      </c>
      <c r="E101" s="8" t="s">
        <v>27</v>
      </c>
      <c r="F101" s="15">
        <v>0</v>
      </c>
      <c r="G101" s="15">
        <v>0</v>
      </c>
      <c r="H101" s="15">
        <v>0</v>
      </c>
      <c r="I101" s="15">
        <v>0</v>
      </c>
      <c r="J101" s="15">
        <v>0</v>
      </c>
      <c r="K101" s="15">
        <v>0</v>
      </c>
      <c r="L101" s="15">
        <v>0</v>
      </c>
      <c r="M101" s="15">
        <v>0</v>
      </c>
      <c r="N101" s="15">
        <v>0</v>
      </c>
      <c r="O101" s="15">
        <v>0</v>
      </c>
      <c r="P101" s="15">
        <v>0</v>
      </c>
      <c r="Q101" s="15">
        <v>0</v>
      </c>
      <c r="R101" s="15">
        <v>0</v>
      </c>
      <c r="S101" s="15">
        <v>0</v>
      </c>
      <c r="T101" s="15">
        <v>0</v>
      </c>
      <c r="U101" s="15">
        <v>0</v>
      </c>
      <c r="V101" s="15">
        <v>0</v>
      </c>
      <c r="W101" s="15">
        <v>0</v>
      </c>
      <c r="X101" s="15">
        <v>0</v>
      </c>
      <c r="Y101" s="15">
        <v>0</v>
      </c>
      <c r="Z101" s="15">
        <v>0</v>
      </c>
      <c r="AA101" s="15">
        <v>0</v>
      </c>
      <c r="AB101" s="15">
        <v>0</v>
      </c>
      <c r="AC101" s="26"/>
      <c r="AD101" s="26"/>
    </row>
    <row r="102" spans="1:30" x14ac:dyDescent="0.25">
      <c r="A102" s="17">
        <v>99</v>
      </c>
      <c r="D102" s="8" t="s">
        <v>17</v>
      </c>
      <c r="E102" s="8" t="s">
        <v>28</v>
      </c>
      <c r="F102" s="15">
        <v>0</v>
      </c>
      <c r="G102" s="15">
        <v>0</v>
      </c>
      <c r="H102" s="15">
        <v>0</v>
      </c>
      <c r="I102" s="15">
        <v>0</v>
      </c>
      <c r="J102" s="15">
        <v>0</v>
      </c>
      <c r="K102" s="15">
        <v>0</v>
      </c>
      <c r="L102" s="15">
        <v>0</v>
      </c>
      <c r="M102" s="15">
        <v>0</v>
      </c>
      <c r="N102" s="15">
        <v>0</v>
      </c>
      <c r="O102" s="15">
        <v>0</v>
      </c>
      <c r="P102" s="15">
        <v>0</v>
      </c>
      <c r="Q102" s="15">
        <v>0</v>
      </c>
      <c r="R102" s="15">
        <v>0</v>
      </c>
      <c r="S102" s="15">
        <v>0</v>
      </c>
      <c r="T102" s="15">
        <v>0</v>
      </c>
      <c r="U102" s="15">
        <v>0</v>
      </c>
      <c r="V102" s="15">
        <v>0</v>
      </c>
      <c r="W102" s="15">
        <v>0</v>
      </c>
      <c r="X102" s="15">
        <v>0</v>
      </c>
      <c r="Y102" s="15">
        <v>0</v>
      </c>
      <c r="Z102" s="15">
        <v>0</v>
      </c>
      <c r="AA102" s="15">
        <v>0</v>
      </c>
      <c r="AB102" s="15">
        <v>0</v>
      </c>
      <c r="AC102" s="26"/>
      <c r="AD102" s="26"/>
    </row>
    <row r="103" spans="1:30" x14ac:dyDescent="0.25">
      <c r="A103" s="17">
        <v>100</v>
      </c>
      <c r="D103" s="7" t="s">
        <v>18</v>
      </c>
      <c r="E103" s="7" t="s">
        <v>29</v>
      </c>
      <c r="F103" s="15">
        <v>0</v>
      </c>
      <c r="G103" s="15">
        <v>0</v>
      </c>
      <c r="H103" s="15">
        <v>0</v>
      </c>
      <c r="I103" s="15">
        <v>0</v>
      </c>
      <c r="J103" s="15">
        <v>0</v>
      </c>
      <c r="K103" s="15">
        <v>0</v>
      </c>
      <c r="L103" s="15">
        <v>0</v>
      </c>
      <c r="M103" s="15">
        <v>0</v>
      </c>
      <c r="N103" s="15">
        <v>0</v>
      </c>
      <c r="O103" s="15">
        <v>0</v>
      </c>
      <c r="P103" s="15">
        <v>0</v>
      </c>
      <c r="Q103" s="15">
        <v>0</v>
      </c>
      <c r="R103" s="15">
        <v>0</v>
      </c>
      <c r="S103" s="15">
        <v>0</v>
      </c>
      <c r="T103" s="15">
        <v>0</v>
      </c>
      <c r="U103" s="15">
        <v>0</v>
      </c>
      <c r="V103" s="15">
        <v>0</v>
      </c>
      <c r="W103" s="15">
        <v>0</v>
      </c>
      <c r="X103" s="15">
        <v>0</v>
      </c>
      <c r="Y103" s="15">
        <v>0</v>
      </c>
      <c r="Z103" s="15">
        <v>0</v>
      </c>
      <c r="AA103" s="15">
        <v>0</v>
      </c>
      <c r="AB103" s="15">
        <v>0</v>
      </c>
      <c r="AC103" s="26"/>
      <c r="AD103" s="26"/>
    </row>
    <row r="104" spans="1:30" x14ac:dyDescent="0.25">
      <c r="A104" s="17">
        <v>101</v>
      </c>
      <c r="D104" s="7" t="s">
        <v>30</v>
      </c>
      <c r="E104" s="7" t="s">
        <v>31</v>
      </c>
      <c r="F104" s="15">
        <v>0</v>
      </c>
      <c r="G104" s="15">
        <v>0</v>
      </c>
      <c r="H104" s="15">
        <v>0</v>
      </c>
      <c r="I104" s="15">
        <v>0</v>
      </c>
      <c r="J104" s="15">
        <v>0</v>
      </c>
      <c r="K104" s="15">
        <v>0</v>
      </c>
      <c r="L104" s="15">
        <v>0</v>
      </c>
      <c r="M104" s="15">
        <v>0</v>
      </c>
      <c r="N104" s="15">
        <v>0</v>
      </c>
      <c r="O104" s="15">
        <v>0</v>
      </c>
      <c r="P104" s="15">
        <v>0</v>
      </c>
      <c r="Q104" s="15">
        <v>0</v>
      </c>
      <c r="R104" s="15">
        <v>0</v>
      </c>
      <c r="S104" s="15">
        <v>0</v>
      </c>
      <c r="T104" s="15">
        <v>0</v>
      </c>
      <c r="U104" s="15">
        <v>0</v>
      </c>
      <c r="V104" s="15">
        <v>0</v>
      </c>
      <c r="W104" s="15">
        <v>0</v>
      </c>
      <c r="X104" s="15">
        <v>0</v>
      </c>
      <c r="Y104" s="15">
        <v>0</v>
      </c>
      <c r="Z104" s="15">
        <v>0</v>
      </c>
      <c r="AA104" s="15">
        <v>0</v>
      </c>
      <c r="AB104" s="15">
        <v>0</v>
      </c>
      <c r="AC104" s="26"/>
      <c r="AD104" s="26"/>
    </row>
    <row r="105" spans="1:30" ht="15.75" x14ac:dyDescent="0.25">
      <c r="A105" s="17">
        <v>102</v>
      </c>
      <c r="D105" s="6" t="s">
        <v>19</v>
      </c>
      <c r="E105" s="6" t="s">
        <v>22</v>
      </c>
      <c r="F105" s="12">
        <v>-1123.2405796114776</v>
      </c>
      <c r="G105" s="12">
        <v>5920.5150700073991</v>
      </c>
      <c r="H105" s="12">
        <v>-559.68122004277257</v>
      </c>
      <c r="I105" s="12">
        <v>1816.8652166146107</v>
      </c>
      <c r="J105" s="12">
        <v>-1620.2299249105854</v>
      </c>
      <c r="K105" s="12">
        <v>1634.7248453357274</v>
      </c>
      <c r="L105" s="12">
        <v>3340.2305608900292</v>
      </c>
      <c r="M105" s="12">
        <v>5145.6206702504205</v>
      </c>
      <c r="N105" s="12">
        <v>-9380.4886372176752</v>
      </c>
      <c r="O105" s="12">
        <v>-959.10098960935625</v>
      </c>
      <c r="P105" s="12">
        <v>9412.6475903995306</v>
      </c>
      <c r="Q105" s="12">
        <v>-10485.278585364194</v>
      </c>
      <c r="R105" s="12">
        <v>-6317.1565446394889</v>
      </c>
      <c r="S105" s="12">
        <v>-1955.4820617643438</v>
      </c>
      <c r="T105" s="12">
        <v>-2926.7427999923407</v>
      </c>
      <c r="U105" s="12">
        <v>3240.2643806169408</v>
      </c>
      <c r="V105" s="12">
        <v>-4018.3879666621947</v>
      </c>
      <c r="W105" s="12">
        <v>-438.93041343578125</v>
      </c>
      <c r="X105" s="12">
        <v>3822.2708085611862</v>
      </c>
      <c r="Y105" s="12">
        <v>1291.6241790006566</v>
      </c>
      <c r="Z105" s="12">
        <v>122.53769590786806</v>
      </c>
      <c r="AA105" s="12">
        <v>-6355.8565545606371</v>
      </c>
      <c r="AB105" s="12">
        <v>3592.6713891761624</v>
      </c>
      <c r="AC105" s="26"/>
      <c r="AD105" s="26"/>
    </row>
    <row r="106" spans="1:30" ht="9" customHeight="1" x14ac:dyDescent="0.25">
      <c r="A106" s="17">
        <v>103</v>
      </c>
      <c r="D106" s="9"/>
      <c r="E106" s="9"/>
      <c r="F106" s="11">
        <v>0</v>
      </c>
      <c r="G106" s="11">
        <v>0</v>
      </c>
      <c r="H106" s="11">
        <v>0</v>
      </c>
      <c r="I106" s="11">
        <v>0</v>
      </c>
      <c r="J106" s="11">
        <v>0</v>
      </c>
      <c r="K106" s="11">
        <v>0</v>
      </c>
      <c r="L106" s="11">
        <v>0</v>
      </c>
      <c r="M106" s="11">
        <v>0</v>
      </c>
      <c r="N106" s="11">
        <v>0</v>
      </c>
      <c r="O106" s="11">
        <v>0</v>
      </c>
      <c r="P106" s="11">
        <v>0</v>
      </c>
      <c r="Q106" s="11">
        <v>0</v>
      </c>
      <c r="R106" s="11">
        <v>0</v>
      </c>
      <c r="S106" s="11">
        <v>0</v>
      </c>
      <c r="T106" s="11">
        <v>0</v>
      </c>
      <c r="U106" s="11">
        <v>0</v>
      </c>
      <c r="V106" s="11">
        <v>0</v>
      </c>
      <c r="W106" s="11">
        <v>0</v>
      </c>
      <c r="X106" s="11">
        <v>0</v>
      </c>
      <c r="Y106" s="11">
        <v>0</v>
      </c>
      <c r="Z106" s="11">
        <v>0</v>
      </c>
      <c r="AA106" s="11">
        <v>0</v>
      </c>
      <c r="AB106" s="11">
        <v>0</v>
      </c>
      <c r="AC106" s="26"/>
      <c r="AD106" s="26"/>
    </row>
    <row r="107" spans="1:30" ht="26.1" customHeight="1" x14ac:dyDescent="0.35">
      <c r="A107" s="17">
        <v>104</v>
      </c>
      <c r="B107" s="3"/>
      <c r="C107" s="5" t="s">
        <v>11</v>
      </c>
      <c r="D107" s="5"/>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26"/>
      <c r="AD107" s="26"/>
    </row>
    <row r="108" spans="1:30" ht="18" customHeight="1" x14ac:dyDescent="0.25">
      <c r="A108" s="17">
        <v>105</v>
      </c>
      <c r="D108" s="6" t="s">
        <v>13</v>
      </c>
      <c r="E108" s="6" t="s">
        <v>35</v>
      </c>
      <c r="F108" s="12">
        <f>F109+F110+F114+F115</f>
        <v>-1335.6117690174801</v>
      </c>
      <c r="G108" s="12">
        <f t="shared" ref="G108:W108" si="282">G109+G110+G114+G115</f>
        <v>4307.1241890909678</v>
      </c>
      <c r="H108" s="12">
        <f t="shared" si="282"/>
        <v>1589.9381977795745</v>
      </c>
      <c r="I108" s="12">
        <f t="shared" si="282"/>
        <v>1617.1314344888815</v>
      </c>
      <c r="J108" s="12">
        <f t="shared" si="282"/>
        <v>1219.0698058944195</v>
      </c>
      <c r="K108" s="12">
        <f t="shared" si="282"/>
        <v>1438.674342093198</v>
      </c>
      <c r="L108" s="12">
        <f t="shared" si="282"/>
        <v>-2253.9870657562524</v>
      </c>
      <c r="M108" s="12">
        <f t="shared" si="282"/>
        <v>21.597701299386856</v>
      </c>
      <c r="N108" s="12">
        <f t="shared" si="282"/>
        <v>-3677.9038636021442</v>
      </c>
      <c r="O108" s="12">
        <f t="shared" si="282"/>
        <v>-767.00448655744037</v>
      </c>
      <c r="P108" s="12">
        <f t="shared" si="282"/>
        <v>-566.11228223805062</v>
      </c>
      <c r="Q108" s="12">
        <f t="shared" si="282"/>
        <v>5949.3731848692132</v>
      </c>
      <c r="R108" s="12">
        <f t="shared" si="282"/>
        <v>5873.8014961718882</v>
      </c>
      <c r="S108" s="12">
        <f t="shared" si="282"/>
        <v>2164.4253910296911</v>
      </c>
      <c r="T108" s="12">
        <f t="shared" si="282"/>
        <v>-1339.6375094477321</v>
      </c>
      <c r="U108" s="12">
        <f t="shared" si="282"/>
        <v>3262.9828417352901</v>
      </c>
      <c r="V108" s="12">
        <f t="shared" si="282"/>
        <v>1924.1083094772462</v>
      </c>
      <c r="W108" s="12">
        <f t="shared" si="282"/>
        <v>-2963.6869176150799</v>
      </c>
      <c r="X108" s="12">
        <f t="shared" ref="X108:Y108" si="283">X109+X110+X114+X115</f>
        <v>904.01849776000995</v>
      </c>
      <c r="Y108" s="12">
        <f t="shared" si="283"/>
        <v>1460.8836151700048</v>
      </c>
      <c r="Z108" s="12">
        <f t="shared" ref="Z108" si="284">Z109+Z110+Z114+Z115</f>
        <v>-1336.0274679599986</v>
      </c>
      <c r="AA108" s="12">
        <f t="shared" ref="AA108:AB108" si="285">AA109+AA110+AA114+AA115</f>
        <v>-2528.8864903600015</v>
      </c>
      <c r="AB108" s="12">
        <f t="shared" si="285"/>
        <v>-2751.329372479996</v>
      </c>
      <c r="AC108" s="26"/>
      <c r="AD108" s="26"/>
    </row>
    <row r="109" spans="1:30" x14ac:dyDescent="0.25">
      <c r="A109" s="17">
        <v>106</v>
      </c>
      <c r="D109" s="7" t="s">
        <v>14</v>
      </c>
      <c r="E109" s="7" t="s">
        <v>23</v>
      </c>
      <c r="F109" s="15">
        <v>-7.7963255174800512</v>
      </c>
      <c r="G109" s="15">
        <v>-7.4727861790214352</v>
      </c>
      <c r="H109" s="15">
        <v>-8.1484965904264346</v>
      </c>
      <c r="I109" s="15">
        <v>-6.3953036411214361</v>
      </c>
      <c r="J109" s="15">
        <v>-4.8131250955705891</v>
      </c>
      <c r="K109" s="15">
        <v>-5.6428500668075268</v>
      </c>
      <c r="L109" s="15">
        <v>23.018570303745769</v>
      </c>
      <c r="M109" s="15">
        <v>-3.5841478506111484</v>
      </c>
      <c r="N109" s="15">
        <v>-5.9195801921441253</v>
      </c>
      <c r="O109" s="15">
        <v>-2.1075697074403474</v>
      </c>
      <c r="P109" s="15">
        <v>0.79607930195042675</v>
      </c>
      <c r="Q109" s="15">
        <v>-4.3762419007965461</v>
      </c>
      <c r="R109" s="15">
        <v>-2.8116905181121834</v>
      </c>
      <c r="S109" s="15">
        <v>-2.4388514802816235</v>
      </c>
      <c r="T109" s="15">
        <v>-2.1424227477327578</v>
      </c>
      <c r="U109" s="15">
        <v>-2.6750069447077331</v>
      </c>
      <c r="V109" s="15">
        <v>-2.257690512745846</v>
      </c>
      <c r="W109" s="15">
        <v>-1.8969691050822195</v>
      </c>
      <c r="X109" s="15">
        <v>0</v>
      </c>
      <c r="Y109" s="15">
        <v>0</v>
      </c>
      <c r="Z109" s="15">
        <v>0</v>
      </c>
      <c r="AA109" s="15">
        <v>0</v>
      </c>
      <c r="AB109" s="15">
        <v>0</v>
      </c>
      <c r="AC109" s="26"/>
      <c r="AD109" s="26"/>
    </row>
    <row r="110" spans="1:30" x14ac:dyDescent="0.25">
      <c r="A110" s="17">
        <v>107</v>
      </c>
      <c r="D110" s="7" t="s">
        <v>15</v>
      </c>
      <c r="E110" s="7" t="s">
        <v>0</v>
      </c>
      <c r="F110" s="14">
        <f>SUM(F111:F113)</f>
        <v>-2029.5032434000002</v>
      </c>
      <c r="G110" s="14">
        <f t="shared" ref="G110:W110" si="286">SUM(G111:G113)</f>
        <v>2094.3955575599898</v>
      </c>
      <c r="H110" s="14">
        <f t="shared" si="286"/>
        <v>-4.0453424899990811</v>
      </c>
      <c r="I110" s="14">
        <f t="shared" si="286"/>
        <v>919.48699931000306</v>
      </c>
      <c r="J110" s="14">
        <f t="shared" si="286"/>
        <v>-1004.2889804200099</v>
      </c>
      <c r="K110" s="14">
        <f t="shared" si="286"/>
        <v>-959.69603034999409</v>
      </c>
      <c r="L110" s="14">
        <f t="shared" si="286"/>
        <v>-834.93797497999799</v>
      </c>
      <c r="M110" s="14">
        <f t="shared" si="286"/>
        <v>119.44248135999798</v>
      </c>
      <c r="N110" s="14">
        <f t="shared" si="286"/>
        <v>-2445.2123029200002</v>
      </c>
      <c r="O110" s="14">
        <f t="shared" si="286"/>
        <v>447.78594376000001</v>
      </c>
      <c r="P110" s="14">
        <f t="shared" si="286"/>
        <v>-645.896004610001</v>
      </c>
      <c r="Q110" s="14">
        <f t="shared" si="286"/>
        <v>5556.3413531200094</v>
      </c>
      <c r="R110" s="14">
        <f t="shared" si="286"/>
        <v>4982.7760620400004</v>
      </c>
      <c r="S110" s="14">
        <f t="shared" si="286"/>
        <v>106.130228109973</v>
      </c>
      <c r="T110" s="14">
        <f t="shared" si="286"/>
        <v>-4545.5537795700011</v>
      </c>
      <c r="U110" s="14">
        <f t="shared" si="286"/>
        <v>4008.6366094200002</v>
      </c>
      <c r="V110" s="14">
        <f t="shared" si="286"/>
        <v>-256.39166363000896</v>
      </c>
      <c r="W110" s="14">
        <f t="shared" si="286"/>
        <v>-4390.1202053499992</v>
      </c>
      <c r="X110" s="14">
        <f t="shared" ref="X110:Y110" si="287">SUM(X111:X113)</f>
        <v>2598.41358829001</v>
      </c>
      <c r="Y110" s="14">
        <f t="shared" si="287"/>
        <v>635.70470785000691</v>
      </c>
      <c r="Z110" s="14">
        <f t="shared" ref="Z110" si="288">SUM(Z111:Z113)</f>
        <v>-2944.1801205999996</v>
      </c>
      <c r="AA110" s="14">
        <f t="shared" ref="AA110:AB110" si="289">SUM(AA111:AA113)</f>
        <v>-2192.4620406399995</v>
      </c>
      <c r="AB110" s="14">
        <f t="shared" si="289"/>
        <v>-1282.3375341399999</v>
      </c>
      <c r="AC110" s="26"/>
      <c r="AD110" s="26"/>
    </row>
    <row r="111" spans="1:30" x14ac:dyDescent="0.25">
      <c r="A111" s="17">
        <v>108</v>
      </c>
      <c r="D111" s="8" t="s">
        <v>26</v>
      </c>
      <c r="E111" s="8" t="s">
        <v>25</v>
      </c>
      <c r="F111" s="15">
        <v>-2029.5032404000001</v>
      </c>
      <c r="G111" s="15">
        <v>2094.3955575599898</v>
      </c>
      <c r="H111" s="15">
        <v>-4.0453424899990811</v>
      </c>
      <c r="I111" s="15">
        <v>919.48699931000306</v>
      </c>
      <c r="J111" s="15">
        <v>-1004.2889804200099</v>
      </c>
      <c r="K111" s="15">
        <v>-959.69603034999409</v>
      </c>
      <c r="L111" s="15">
        <v>-834.93797497999799</v>
      </c>
      <c r="M111" s="15">
        <v>119.44248135999798</v>
      </c>
      <c r="N111" s="15">
        <v>-2445.2123029200002</v>
      </c>
      <c r="O111" s="15">
        <v>447.78594376000001</v>
      </c>
      <c r="P111" s="15">
        <v>-645.896004610001</v>
      </c>
      <c r="Q111" s="15">
        <v>5556.3413531200094</v>
      </c>
      <c r="R111" s="15">
        <v>4982.7760620400004</v>
      </c>
      <c r="S111" s="15">
        <v>106.130228109973</v>
      </c>
      <c r="T111" s="15">
        <v>-4545.5537795700011</v>
      </c>
      <c r="U111" s="15">
        <v>4008.6366094200002</v>
      </c>
      <c r="V111" s="15">
        <v>-256.39166363000896</v>
      </c>
      <c r="W111" s="15">
        <v>-4390.1202053499992</v>
      </c>
      <c r="X111" s="15">
        <v>2598.41358829001</v>
      </c>
      <c r="Y111" s="15">
        <v>635.70470785000691</v>
      </c>
      <c r="Z111" s="15">
        <v>-2944.1711232899997</v>
      </c>
      <c r="AA111" s="15">
        <v>-2192.4617043799994</v>
      </c>
      <c r="AB111" s="15">
        <v>-1282.3375341399999</v>
      </c>
      <c r="AC111" s="26"/>
      <c r="AD111" s="26"/>
    </row>
    <row r="112" spans="1:30" x14ac:dyDescent="0.25">
      <c r="A112" s="17">
        <v>109</v>
      </c>
      <c r="D112" s="8" t="s">
        <v>16</v>
      </c>
      <c r="E112" s="8" t="s">
        <v>27</v>
      </c>
      <c r="F112" s="15">
        <v>-3.0000000000000001E-6</v>
      </c>
      <c r="G112" s="15">
        <v>0</v>
      </c>
      <c r="H112" s="15">
        <v>0</v>
      </c>
      <c r="I112" s="15">
        <v>0</v>
      </c>
      <c r="J112" s="15">
        <v>0</v>
      </c>
      <c r="K112" s="15">
        <v>0</v>
      </c>
      <c r="L112" s="15">
        <v>0</v>
      </c>
      <c r="M112" s="15">
        <v>0</v>
      </c>
      <c r="N112" s="15">
        <v>0</v>
      </c>
      <c r="O112" s="15">
        <v>0</v>
      </c>
      <c r="P112" s="15">
        <v>0</v>
      </c>
      <c r="Q112" s="15">
        <v>0</v>
      </c>
      <c r="R112" s="15">
        <v>0</v>
      </c>
      <c r="S112" s="15">
        <v>0</v>
      </c>
      <c r="T112" s="15">
        <v>0</v>
      </c>
      <c r="U112" s="15">
        <v>0</v>
      </c>
      <c r="V112" s="15">
        <v>0</v>
      </c>
      <c r="W112" s="15">
        <v>0</v>
      </c>
      <c r="X112" s="15">
        <v>0</v>
      </c>
      <c r="Y112" s="15">
        <v>0</v>
      </c>
      <c r="Z112" s="15">
        <v>-8.9973100000000014E-3</v>
      </c>
      <c r="AA112" s="15">
        <v>-3.3626000000000001E-4</v>
      </c>
      <c r="AB112" s="15">
        <v>0</v>
      </c>
      <c r="AC112" s="26"/>
      <c r="AD112" s="26"/>
    </row>
    <row r="113" spans="1:30" x14ac:dyDescent="0.25">
      <c r="A113" s="17">
        <v>110</v>
      </c>
      <c r="D113" s="8" t="s">
        <v>17</v>
      </c>
      <c r="E113" s="8" t="s">
        <v>28</v>
      </c>
      <c r="F113" s="15">
        <v>0</v>
      </c>
      <c r="G113" s="15">
        <v>0</v>
      </c>
      <c r="H113" s="15">
        <v>0</v>
      </c>
      <c r="I113" s="15">
        <v>0</v>
      </c>
      <c r="J113" s="15">
        <v>0</v>
      </c>
      <c r="K113" s="15">
        <v>0</v>
      </c>
      <c r="L113" s="15">
        <v>0</v>
      </c>
      <c r="M113" s="15">
        <v>0</v>
      </c>
      <c r="N113" s="15">
        <v>0</v>
      </c>
      <c r="O113" s="15">
        <v>0</v>
      </c>
      <c r="P113" s="15">
        <v>0</v>
      </c>
      <c r="Q113" s="15">
        <v>0</v>
      </c>
      <c r="R113" s="15">
        <v>0</v>
      </c>
      <c r="S113" s="15">
        <v>0</v>
      </c>
      <c r="T113" s="15">
        <v>0</v>
      </c>
      <c r="U113" s="15">
        <v>0</v>
      </c>
      <c r="V113" s="15">
        <v>0</v>
      </c>
      <c r="W113" s="15">
        <v>0</v>
      </c>
      <c r="X113" s="15">
        <v>0</v>
      </c>
      <c r="Y113" s="15">
        <v>0</v>
      </c>
      <c r="Z113" s="15">
        <v>0</v>
      </c>
      <c r="AA113" s="15">
        <v>0</v>
      </c>
      <c r="AB113" s="15">
        <v>0</v>
      </c>
      <c r="AC113" s="26"/>
      <c r="AD113" s="26"/>
    </row>
    <row r="114" spans="1:30" x14ac:dyDescent="0.25">
      <c r="A114" s="17">
        <v>111</v>
      </c>
      <c r="D114" s="7" t="s">
        <v>1</v>
      </c>
      <c r="E114" s="7" t="s">
        <v>29</v>
      </c>
      <c r="F114" s="14">
        <v>701.68779989999996</v>
      </c>
      <c r="G114" s="14">
        <v>2220.20141771</v>
      </c>
      <c r="H114" s="14">
        <v>1602.13203686</v>
      </c>
      <c r="I114" s="14">
        <v>704.03973881999991</v>
      </c>
      <c r="J114" s="14">
        <v>2228.1719114100001</v>
      </c>
      <c r="K114" s="14">
        <v>2404.0132225099997</v>
      </c>
      <c r="L114" s="14">
        <v>-1442.0676610800003</v>
      </c>
      <c r="M114" s="14">
        <v>-94.260632209999983</v>
      </c>
      <c r="N114" s="14">
        <v>-1226.77198049</v>
      </c>
      <c r="O114" s="14">
        <v>-1212.68286061</v>
      </c>
      <c r="P114" s="14">
        <v>78.987643069999962</v>
      </c>
      <c r="Q114" s="14">
        <v>397.40807365000006</v>
      </c>
      <c r="R114" s="14">
        <v>893.83712464999996</v>
      </c>
      <c r="S114" s="14">
        <v>2060.7340144</v>
      </c>
      <c r="T114" s="14">
        <v>3208.0586928700018</v>
      </c>
      <c r="U114" s="14">
        <v>-742.97876074000283</v>
      </c>
      <c r="V114" s="14">
        <v>2182.757663620001</v>
      </c>
      <c r="W114" s="14">
        <v>1428.3302568400018</v>
      </c>
      <c r="X114" s="14">
        <v>-1694.3950905300001</v>
      </c>
      <c r="Y114" s="14">
        <v>825.17890731999796</v>
      </c>
      <c r="Z114" s="14">
        <v>1608.152652640001</v>
      </c>
      <c r="AA114" s="14">
        <v>-336.4244497200018</v>
      </c>
      <c r="AB114" s="14">
        <v>-1468.9918383399963</v>
      </c>
      <c r="AC114" s="26"/>
      <c r="AD114" s="26"/>
    </row>
    <row r="115" spans="1:30" x14ac:dyDescent="0.25">
      <c r="A115" s="17">
        <v>112</v>
      </c>
      <c r="D115" s="7" t="s">
        <v>30</v>
      </c>
      <c r="E115" s="7" t="s">
        <v>31</v>
      </c>
      <c r="F115" s="14">
        <v>0</v>
      </c>
      <c r="G115" s="14">
        <v>0</v>
      </c>
      <c r="H115" s="14">
        <v>0</v>
      </c>
      <c r="I115" s="14">
        <v>0</v>
      </c>
      <c r="J115" s="14">
        <v>0</v>
      </c>
      <c r="K115" s="14">
        <v>0</v>
      </c>
      <c r="L115" s="14">
        <v>0</v>
      </c>
      <c r="M115" s="14">
        <v>0</v>
      </c>
      <c r="N115" s="14">
        <v>0</v>
      </c>
      <c r="O115" s="14">
        <v>0</v>
      </c>
      <c r="P115" s="14">
        <v>0</v>
      </c>
      <c r="Q115" s="14">
        <v>0</v>
      </c>
      <c r="R115" s="14">
        <v>0</v>
      </c>
      <c r="S115" s="14">
        <v>0</v>
      </c>
      <c r="T115" s="14">
        <v>0</v>
      </c>
      <c r="U115" s="14">
        <v>0</v>
      </c>
      <c r="V115" s="14">
        <v>0</v>
      </c>
      <c r="W115" s="14">
        <v>0</v>
      </c>
      <c r="X115" s="14">
        <v>0</v>
      </c>
      <c r="Y115" s="14">
        <v>0</v>
      </c>
      <c r="Z115" s="14">
        <v>0</v>
      </c>
      <c r="AA115" s="14">
        <v>0</v>
      </c>
      <c r="AB115" s="14">
        <v>0</v>
      </c>
      <c r="AC115" s="26"/>
      <c r="AD115" s="26"/>
    </row>
    <row r="116" spans="1:30" ht="15.75" x14ac:dyDescent="0.25">
      <c r="A116" s="17">
        <v>113</v>
      </c>
      <c r="D116" s="6" t="s">
        <v>19</v>
      </c>
      <c r="E116" s="6" t="s">
        <v>22</v>
      </c>
      <c r="F116" s="12">
        <v>-2.1753020091639321</v>
      </c>
      <c r="G116" s="12">
        <v>173.67658093161654</v>
      </c>
      <c r="H116" s="12">
        <v>1672.7846885699876</v>
      </c>
      <c r="I116" s="12">
        <v>1922.7255379750693</v>
      </c>
      <c r="J116" s="12">
        <v>618.08496040422358</v>
      </c>
      <c r="K116" s="12">
        <v>22.340698733359616</v>
      </c>
      <c r="L116" s="12">
        <v>-1642.7356024534024</v>
      </c>
      <c r="M116" s="12">
        <v>-250.35793481241541</v>
      </c>
      <c r="N116" s="12">
        <v>75.933449611581992</v>
      </c>
      <c r="O116" s="12">
        <v>3726.4246616438718</v>
      </c>
      <c r="P116" s="12">
        <v>307.96604027991185</v>
      </c>
      <c r="Q116" s="12">
        <v>12225.423532469724</v>
      </c>
      <c r="R116" s="12">
        <v>10338.571063318474</v>
      </c>
      <c r="S116" s="12">
        <v>6476.8334800587472</v>
      </c>
      <c r="T116" s="12">
        <v>5628.956809666146</v>
      </c>
      <c r="U116" s="12">
        <v>6872.5799078266928</v>
      </c>
      <c r="V116" s="12">
        <v>5410.7801577407981</v>
      </c>
      <c r="W116" s="12">
        <v>-497.7565315753659</v>
      </c>
      <c r="X116" s="12">
        <v>2553.7601010221601</v>
      </c>
      <c r="Y116" s="12">
        <v>71.053533678173153</v>
      </c>
      <c r="Z116" s="12">
        <v>-2837.0797665277887</v>
      </c>
      <c r="AA116" s="12">
        <v>9867.9719175980645</v>
      </c>
      <c r="AB116" s="12">
        <v>-173.16960289919297</v>
      </c>
      <c r="AC116" s="26"/>
      <c r="AD116" s="26"/>
    </row>
    <row r="117" spans="1:30" ht="17.25" customHeight="1" x14ac:dyDescent="0.25">
      <c r="D117" s="9"/>
      <c r="E117" s="9"/>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27"/>
      <c r="AD117" s="26"/>
    </row>
    <row r="118" spans="1:30" ht="26.1" customHeight="1" x14ac:dyDescent="0.35">
      <c r="A118" s="17">
        <v>115</v>
      </c>
      <c r="B118" s="3"/>
      <c r="C118" s="5" t="s">
        <v>6</v>
      </c>
      <c r="D118" s="5"/>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26"/>
      <c r="AD118" s="26"/>
    </row>
    <row r="119" spans="1:30" ht="18" customHeight="1" x14ac:dyDescent="0.25">
      <c r="A119" s="17">
        <v>116</v>
      </c>
      <c r="D119" s="6" t="s">
        <v>13</v>
      </c>
      <c r="E119" s="6" t="s">
        <v>35</v>
      </c>
      <c r="F119" s="12">
        <f>F120+F121+F125+F126</f>
        <v>1389.3667464440264</v>
      </c>
      <c r="G119" s="12">
        <f t="shared" ref="G119:W119" si="290">G120+G121+G125+G126</f>
        <v>206.34242899123041</v>
      </c>
      <c r="H119" s="12">
        <f t="shared" si="290"/>
        <v>1677.1348510836324</v>
      </c>
      <c r="I119" s="12">
        <f t="shared" si="290"/>
        <v>1074.1036247679567</v>
      </c>
      <c r="J119" s="12">
        <f t="shared" si="290"/>
        <v>815.34175403815561</v>
      </c>
      <c r="K119" s="12">
        <f t="shared" si="290"/>
        <v>2926.3542996892847</v>
      </c>
      <c r="L119" s="12">
        <f t="shared" si="290"/>
        <v>3386.5939143708983</v>
      </c>
      <c r="M119" s="12">
        <f t="shared" si="290"/>
        <v>2818.2226355842577</v>
      </c>
      <c r="N119" s="12">
        <f t="shared" si="290"/>
        <v>5419.9910639533182</v>
      </c>
      <c r="O119" s="12">
        <f t="shared" si="290"/>
        <v>454.33163892927331</v>
      </c>
      <c r="P119" s="12">
        <f t="shared" si="290"/>
        <v>-364.64168199948097</v>
      </c>
      <c r="Q119" s="12">
        <f t="shared" si="290"/>
        <v>-2675.5798429155384</v>
      </c>
      <c r="R119" s="12">
        <f t="shared" si="290"/>
        <v>-711.36937135551</v>
      </c>
      <c r="S119" s="12">
        <f t="shared" si="290"/>
        <v>1149.1463715227792</v>
      </c>
      <c r="T119" s="12">
        <f t="shared" si="290"/>
        <v>1815.5310062783533</v>
      </c>
      <c r="U119" s="12">
        <f t="shared" si="290"/>
        <v>2079.5346327815637</v>
      </c>
      <c r="V119" s="12">
        <f t="shared" si="290"/>
        <v>1625.838523768296</v>
      </c>
      <c r="W119" s="12">
        <f t="shared" si="290"/>
        <v>4080.4651723180959</v>
      </c>
      <c r="X119" s="12">
        <f t="shared" ref="X119:Y119" si="291">X120+X121+X125+X126</f>
        <v>4645.5297777668338</v>
      </c>
      <c r="Y119" s="12">
        <f t="shared" si="291"/>
        <v>5764.3259909862609</v>
      </c>
      <c r="Z119" s="12">
        <f t="shared" ref="Z119" si="292">Z120+Z121+Z125+Z126</f>
        <v>5161.1053047147507</v>
      </c>
      <c r="AA119" s="12">
        <f t="shared" ref="AA119:AB119" si="293">AA120+AA121+AA125+AA126</f>
        <v>6007.6396478734996</v>
      </c>
      <c r="AB119" s="12">
        <f t="shared" si="293"/>
        <v>5482.080212435354</v>
      </c>
      <c r="AC119" s="26"/>
      <c r="AD119" s="26"/>
    </row>
    <row r="120" spans="1:30" x14ac:dyDescent="0.25">
      <c r="A120" s="17">
        <v>117</v>
      </c>
      <c r="D120" s="7" t="s">
        <v>14</v>
      </c>
      <c r="E120" s="7" t="s">
        <v>23</v>
      </c>
      <c r="F120" s="14">
        <v>864.68564006260283</v>
      </c>
      <c r="G120" s="14">
        <v>7.4381915659737867</v>
      </c>
      <c r="H120" s="14">
        <v>699.43313270381577</v>
      </c>
      <c r="I120" s="14">
        <v>347.49489700604113</v>
      </c>
      <c r="J120" s="14">
        <v>-217.14227466604396</v>
      </c>
      <c r="K120" s="14">
        <v>649.35839739975518</v>
      </c>
      <c r="L120" s="14">
        <v>1001.9851353068292</v>
      </c>
      <c r="M120" s="14">
        <v>1046.2930990762636</v>
      </c>
      <c r="N120" s="14">
        <v>142.03930245070296</v>
      </c>
      <c r="O120" s="14">
        <v>798.62074881085732</v>
      </c>
      <c r="P120" s="14">
        <v>-310.39729738039273</v>
      </c>
      <c r="Q120" s="14">
        <v>850.19522142626545</v>
      </c>
      <c r="R120" s="14">
        <v>-374.31978878616076</v>
      </c>
      <c r="S120" s="14">
        <v>401.95909377668858</v>
      </c>
      <c r="T120" s="14">
        <v>64.763831193192118</v>
      </c>
      <c r="U120" s="14">
        <v>1272.2439221089094</v>
      </c>
      <c r="V120" s="14">
        <v>688.25732827997513</v>
      </c>
      <c r="W120" s="14">
        <v>1826.1816759535186</v>
      </c>
      <c r="X120" s="14">
        <v>1503.0353723546282</v>
      </c>
      <c r="Y120" s="14">
        <v>2230.044536951676</v>
      </c>
      <c r="Z120" s="14">
        <v>2292.4615825824062</v>
      </c>
      <c r="AA120" s="14">
        <v>2413.111480976881</v>
      </c>
      <c r="AB120" s="14">
        <v>1472.4889902531797</v>
      </c>
      <c r="AC120" s="26"/>
      <c r="AD120" s="26"/>
    </row>
    <row r="121" spans="1:30" x14ac:dyDescent="0.25">
      <c r="A121" s="17">
        <v>118</v>
      </c>
      <c r="D121" s="7" t="s">
        <v>15</v>
      </c>
      <c r="E121" s="7" t="s">
        <v>0</v>
      </c>
      <c r="F121" s="14">
        <f>SUM(F122:F124)</f>
        <v>-77.771665481240262</v>
      </c>
      <c r="G121" s="14">
        <f t="shared" ref="G121:W121" si="294">SUM(G122:G124)</f>
        <v>-159.90517103730079</v>
      </c>
      <c r="H121" s="14">
        <f t="shared" si="294"/>
        <v>-61.304625631996878</v>
      </c>
      <c r="I121" s="14">
        <f t="shared" si="294"/>
        <v>42.394544286637739</v>
      </c>
      <c r="J121" s="14">
        <f t="shared" si="294"/>
        <v>4.7619861188832657E-2</v>
      </c>
      <c r="K121" s="14">
        <f t="shared" si="294"/>
        <v>213.6222370310791</v>
      </c>
      <c r="L121" s="14">
        <f t="shared" si="294"/>
        <v>121.18674886911654</v>
      </c>
      <c r="M121" s="14">
        <f t="shared" si="294"/>
        <v>134.92329245928772</v>
      </c>
      <c r="N121" s="14">
        <f t="shared" si="294"/>
        <v>4304.6781151204868</v>
      </c>
      <c r="O121" s="14">
        <f t="shared" si="294"/>
        <v>-1226.4929344740915</v>
      </c>
      <c r="P121" s="14">
        <f t="shared" si="294"/>
        <v>192.11950072906978</v>
      </c>
      <c r="Q121" s="14">
        <f t="shared" si="294"/>
        <v>-2764.1629257881673</v>
      </c>
      <c r="R121" s="14">
        <f t="shared" si="294"/>
        <v>165.28105915659259</v>
      </c>
      <c r="S121" s="14">
        <f t="shared" si="294"/>
        <v>101.88853557263967</v>
      </c>
      <c r="T121" s="14">
        <f t="shared" si="294"/>
        <v>585.963218959556</v>
      </c>
      <c r="U121" s="14">
        <f t="shared" si="294"/>
        <v>147.12492681167089</v>
      </c>
      <c r="V121" s="14">
        <f t="shared" si="294"/>
        <v>-168.72722290020226</v>
      </c>
      <c r="W121" s="14">
        <f t="shared" si="294"/>
        <v>197.47997410701294</v>
      </c>
      <c r="X121" s="14">
        <f t="shared" ref="X121:Y121" si="295">SUM(X122:X124)</f>
        <v>425.66613955136506</v>
      </c>
      <c r="Y121" s="14">
        <f t="shared" si="295"/>
        <v>150.18160251415637</v>
      </c>
      <c r="Z121" s="14">
        <f t="shared" ref="Z121" si="296">SUM(Z122:Z124)</f>
        <v>-44.283140742081997</v>
      </c>
      <c r="AA121" s="14">
        <f t="shared" ref="AA121:AB121" si="297">SUM(AA122:AA124)</f>
        <v>133.17887492298246</v>
      </c>
      <c r="AB121" s="14">
        <f t="shared" si="297"/>
        <v>847.92482888553434</v>
      </c>
      <c r="AC121" s="26"/>
      <c r="AD121" s="26"/>
    </row>
    <row r="122" spans="1:30" x14ac:dyDescent="0.25">
      <c r="A122" s="17">
        <v>119</v>
      </c>
      <c r="D122" s="8" t="s">
        <v>26</v>
      </c>
      <c r="E122" s="8" t="s">
        <v>25</v>
      </c>
      <c r="F122" s="15">
        <v>0</v>
      </c>
      <c r="G122" s="15">
        <v>0</v>
      </c>
      <c r="H122" s="15">
        <v>0</v>
      </c>
      <c r="I122" s="15">
        <v>0</v>
      </c>
      <c r="J122" s="15">
        <v>0</v>
      </c>
      <c r="K122" s="15">
        <v>0</v>
      </c>
      <c r="L122" s="15">
        <v>0</v>
      </c>
      <c r="M122" s="15">
        <v>0</v>
      </c>
      <c r="N122" s="15">
        <v>3897.8856348600002</v>
      </c>
      <c r="O122" s="15">
        <v>-1321.65999523</v>
      </c>
      <c r="P122" s="15">
        <v>201.46255301999497</v>
      </c>
      <c r="Q122" s="15">
        <v>-2777.68819265</v>
      </c>
      <c r="R122" s="15">
        <v>0</v>
      </c>
      <c r="S122" s="15">
        <v>0</v>
      </c>
      <c r="T122" s="15">
        <v>0</v>
      </c>
      <c r="U122" s="15">
        <v>0</v>
      </c>
      <c r="V122" s="15">
        <v>0</v>
      </c>
      <c r="W122" s="15">
        <v>2.3283064365387001E-16</v>
      </c>
      <c r="X122" s="15">
        <v>180.13617535999998</v>
      </c>
      <c r="Y122" s="15">
        <v>-29.914643160000299</v>
      </c>
      <c r="Z122" s="15">
        <v>-150.22153219999998</v>
      </c>
      <c r="AA122" s="15">
        <v>0</v>
      </c>
      <c r="AB122" s="15">
        <v>800.9584090300001</v>
      </c>
      <c r="AC122" s="26"/>
      <c r="AD122" s="26"/>
    </row>
    <row r="123" spans="1:30" x14ac:dyDescent="0.25">
      <c r="A123" s="17">
        <v>120</v>
      </c>
      <c r="D123" s="8" t="s">
        <v>16</v>
      </c>
      <c r="E123" s="8" t="s">
        <v>27</v>
      </c>
      <c r="F123" s="15">
        <v>-77.771665481240262</v>
      </c>
      <c r="G123" s="15">
        <v>-159.90517103730079</v>
      </c>
      <c r="H123" s="15">
        <v>-61.304625631996878</v>
      </c>
      <c r="I123" s="15">
        <v>42.394544286637739</v>
      </c>
      <c r="J123" s="15">
        <v>4.7619861188832657E-2</v>
      </c>
      <c r="K123" s="15">
        <v>213.6222370310791</v>
      </c>
      <c r="L123" s="15">
        <v>121.18674886911654</v>
      </c>
      <c r="M123" s="15">
        <v>134.92329245928772</v>
      </c>
      <c r="N123" s="15">
        <v>406.79248026048617</v>
      </c>
      <c r="O123" s="15">
        <v>95.167060755908551</v>
      </c>
      <c r="P123" s="15">
        <v>-9.3430522909251756</v>
      </c>
      <c r="Q123" s="15">
        <v>13.525266861832744</v>
      </c>
      <c r="R123" s="15">
        <v>165.28105915659259</v>
      </c>
      <c r="S123" s="15">
        <v>101.88853557263967</v>
      </c>
      <c r="T123" s="15">
        <v>585.963218959556</v>
      </c>
      <c r="U123" s="15">
        <v>147.12492681167089</v>
      </c>
      <c r="V123" s="15">
        <v>-168.72722290020226</v>
      </c>
      <c r="W123" s="15">
        <v>197.47997410701294</v>
      </c>
      <c r="X123" s="15">
        <v>245.52996419136505</v>
      </c>
      <c r="Y123" s="15">
        <v>180.09624567415668</v>
      </c>
      <c r="Z123" s="15">
        <v>105.93839145791799</v>
      </c>
      <c r="AA123" s="15">
        <v>133.17887492298246</v>
      </c>
      <c r="AB123" s="15">
        <v>46.966419855534213</v>
      </c>
      <c r="AC123" s="26"/>
      <c r="AD123" s="26"/>
    </row>
    <row r="124" spans="1:30" x14ac:dyDescent="0.25">
      <c r="A124" s="17">
        <v>121</v>
      </c>
      <c r="D124" s="8" t="s">
        <v>17</v>
      </c>
      <c r="E124" s="8" t="s">
        <v>28</v>
      </c>
      <c r="F124" s="15">
        <v>0</v>
      </c>
      <c r="G124" s="15">
        <v>0</v>
      </c>
      <c r="H124" s="15">
        <v>0</v>
      </c>
      <c r="I124" s="15">
        <v>0</v>
      </c>
      <c r="J124" s="15">
        <v>0</v>
      </c>
      <c r="K124" s="15">
        <v>0</v>
      </c>
      <c r="L124" s="15">
        <v>0</v>
      </c>
      <c r="M124" s="15">
        <v>0</v>
      </c>
      <c r="N124" s="15">
        <v>0</v>
      </c>
      <c r="O124" s="15">
        <v>0</v>
      </c>
      <c r="P124" s="15">
        <v>0</v>
      </c>
      <c r="Q124" s="15">
        <v>0</v>
      </c>
      <c r="R124" s="15">
        <v>0</v>
      </c>
      <c r="S124" s="15">
        <v>0</v>
      </c>
      <c r="T124" s="15">
        <v>0</v>
      </c>
      <c r="U124" s="15">
        <v>0</v>
      </c>
      <c r="V124" s="15">
        <v>0</v>
      </c>
      <c r="W124" s="15">
        <v>0</v>
      </c>
      <c r="X124" s="15">
        <v>0</v>
      </c>
      <c r="Y124" s="15">
        <v>0</v>
      </c>
      <c r="Z124" s="15">
        <v>0</v>
      </c>
      <c r="AA124" s="15">
        <v>0</v>
      </c>
      <c r="AB124" s="15">
        <v>0</v>
      </c>
      <c r="AC124" s="26"/>
      <c r="AD124" s="26"/>
    </row>
    <row r="125" spans="1:30" x14ac:dyDescent="0.25">
      <c r="A125" s="17">
        <v>122</v>
      </c>
      <c r="D125" s="7" t="s">
        <v>1</v>
      </c>
      <c r="E125" s="7" t="s">
        <v>29</v>
      </c>
      <c r="F125" s="14">
        <v>-5.5576680000000005</v>
      </c>
      <c r="G125" s="14">
        <v>150.10079899999999</v>
      </c>
      <c r="H125" s="14">
        <v>92.957583999999997</v>
      </c>
      <c r="I125" s="14">
        <v>171.65789000000001</v>
      </c>
      <c r="J125" s="14">
        <v>49.973943999999975</v>
      </c>
      <c r="K125" s="14">
        <v>-7.3848569999999869</v>
      </c>
      <c r="L125" s="14">
        <v>-46.858241999999997</v>
      </c>
      <c r="M125" s="14">
        <v>240.18375700000001</v>
      </c>
      <c r="N125" s="14">
        <v>19.625198000000086</v>
      </c>
      <c r="O125" s="14">
        <v>-18.568077000000081</v>
      </c>
      <c r="P125" s="14">
        <v>9.7930090000000156</v>
      </c>
      <c r="Q125" s="14">
        <v>14.43483799999998</v>
      </c>
      <c r="R125" s="14">
        <v>-19.027350999999985</v>
      </c>
      <c r="S125" s="14">
        <v>-17.772742220000026</v>
      </c>
      <c r="T125" s="14">
        <v>-18.860036430000061</v>
      </c>
      <c r="U125" s="14">
        <v>265.10452085000003</v>
      </c>
      <c r="V125" s="14">
        <v>-48.586645419999826</v>
      </c>
      <c r="W125" s="14">
        <v>-44.989821060000182</v>
      </c>
      <c r="X125" s="14">
        <v>-28.370644259999985</v>
      </c>
      <c r="Y125" s="14">
        <v>289.23517603999994</v>
      </c>
      <c r="Z125" s="14">
        <v>-72.462657659999962</v>
      </c>
      <c r="AA125" s="14">
        <v>-33.907947049999947</v>
      </c>
      <c r="AB125" s="14">
        <v>-47.443991240000088</v>
      </c>
      <c r="AC125" s="26"/>
      <c r="AD125" s="26"/>
    </row>
    <row r="126" spans="1:30" x14ac:dyDescent="0.25">
      <c r="A126" s="17">
        <v>123</v>
      </c>
      <c r="D126" s="7" t="s">
        <v>30</v>
      </c>
      <c r="E126" s="7" t="s">
        <v>31</v>
      </c>
      <c r="F126" s="14">
        <v>608.01043986266382</v>
      </c>
      <c r="G126" s="14">
        <v>208.7086094625574</v>
      </c>
      <c r="H126" s="14">
        <v>946.04876001181344</v>
      </c>
      <c r="I126" s="14">
        <v>512.55629347527793</v>
      </c>
      <c r="J126" s="14">
        <v>982.46246484301071</v>
      </c>
      <c r="K126" s="14">
        <v>2070.7585222584503</v>
      </c>
      <c r="L126" s="14">
        <v>2310.2802721949524</v>
      </c>
      <c r="M126" s="14">
        <v>1396.8224870487065</v>
      </c>
      <c r="N126" s="14">
        <v>953.64844838212844</v>
      </c>
      <c r="O126" s="14">
        <v>900.77190159250756</v>
      </c>
      <c r="P126" s="14">
        <v>-256.156894348158</v>
      </c>
      <c r="Q126" s="14">
        <v>-776.0469765536368</v>
      </c>
      <c r="R126" s="14">
        <v>-483.30329072594185</v>
      </c>
      <c r="S126" s="14">
        <v>663.07148439345099</v>
      </c>
      <c r="T126" s="14">
        <v>1183.6639925556051</v>
      </c>
      <c r="U126" s="14">
        <v>395.06126301098345</v>
      </c>
      <c r="V126" s="14">
        <v>1154.895063808523</v>
      </c>
      <c r="W126" s="14">
        <v>2101.7933433175644</v>
      </c>
      <c r="X126" s="14">
        <v>2745.1989101208405</v>
      </c>
      <c r="Y126" s="14">
        <v>3094.8646754804281</v>
      </c>
      <c r="Z126" s="14">
        <v>2985.3895205344265</v>
      </c>
      <c r="AA126" s="14">
        <v>3495.2572390236364</v>
      </c>
      <c r="AB126" s="14">
        <v>3209.1103845366401</v>
      </c>
      <c r="AC126" s="26"/>
      <c r="AD126" s="26"/>
    </row>
    <row r="127" spans="1:30" ht="15.75" x14ac:dyDescent="0.25">
      <c r="A127" s="17">
        <v>124</v>
      </c>
      <c r="D127" s="6" t="s">
        <v>19</v>
      </c>
      <c r="E127" s="6" t="s">
        <v>22</v>
      </c>
      <c r="F127" s="12">
        <v>210.99058622841667</v>
      </c>
      <c r="G127" s="12">
        <v>-14.212336615838487</v>
      </c>
      <c r="H127" s="12">
        <v>9.4209398148997376</v>
      </c>
      <c r="I127" s="12">
        <v>8.8454612533576427</v>
      </c>
      <c r="J127" s="12">
        <v>-42.977546315189819</v>
      </c>
      <c r="K127" s="12">
        <v>-37.008062989659877</v>
      </c>
      <c r="L127" s="12">
        <v>60.26613829740279</v>
      </c>
      <c r="M127" s="12">
        <v>6.0753661993214001</v>
      </c>
      <c r="N127" s="12">
        <v>-14.741900208142887</v>
      </c>
      <c r="O127" s="12">
        <v>-69.223571460158354</v>
      </c>
      <c r="P127" s="12">
        <v>63.484070655510187</v>
      </c>
      <c r="Q127" s="12">
        <v>-15.562912511004511</v>
      </c>
      <c r="R127" s="12">
        <v>28.993778551371712</v>
      </c>
      <c r="S127" s="12">
        <v>-74.785196430000013</v>
      </c>
      <c r="T127" s="12">
        <v>-40.105062171287145</v>
      </c>
      <c r="U127" s="12">
        <v>3.943492113438245</v>
      </c>
      <c r="V127" s="12">
        <v>46.879230322899225</v>
      </c>
      <c r="W127" s="12">
        <v>-97.415743955425881</v>
      </c>
      <c r="X127" s="12">
        <v>73.448075359773071</v>
      </c>
      <c r="Y127" s="12">
        <v>18.467270677215936</v>
      </c>
      <c r="Z127" s="12">
        <v>6.6480670081597246</v>
      </c>
      <c r="AA127" s="12">
        <v>-40.45047530905299</v>
      </c>
      <c r="AB127" s="12">
        <v>75.511154946668114</v>
      </c>
      <c r="AC127" s="26"/>
      <c r="AD127" s="26"/>
    </row>
    <row r="128" spans="1:30" ht="9" customHeight="1" x14ac:dyDescent="0.25">
      <c r="D128" s="9"/>
      <c r="E128" s="9"/>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27"/>
      <c r="AD128" s="26"/>
    </row>
    <row r="129" spans="1:30" ht="26.1" customHeight="1" x14ac:dyDescent="0.35">
      <c r="A129" s="17">
        <v>126</v>
      </c>
      <c r="B129" s="3"/>
      <c r="C129" s="5" t="s">
        <v>24</v>
      </c>
      <c r="D129" s="5"/>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26"/>
      <c r="AD129" s="26"/>
    </row>
    <row r="130" spans="1:30" ht="18" customHeight="1" x14ac:dyDescent="0.25">
      <c r="A130" s="17">
        <v>127</v>
      </c>
      <c r="D130" s="6" t="s">
        <v>13</v>
      </c>
      <c r="E130" s="6" t="s">
        <v>35</v>
      </c>
      <c r="F130" s="12">
        <f>F131+F132+F136+F137</f>
        <v>-1.2526985472839982</v>
      </c>
      <c r="G130" s="12">
        <f t="shared" ref="G130:W130" si="298">G131+G132+G136+G137</f>
        <v>-0.27030513647269028</v>
      </c>
      <c r="H130" s="12">
        <f t="shared" si="298"/>
        <v>-0.860939158761725</v>
      </c>
      <c r="I130" s="12">
        <f t="shared" si="298"/>
        <v>-12.276092830696069</v>
      </c>
      <c r="J130" s="12">
        <f t="shared" si="298"/>
        <v>1.1126645567748035</v>
      </c>
      <c r="K130" s="12">
        <f t="shared" si="298"/>
        <v>14.297351645509778</v>
      </c>
      <c r="L130" s="12">
        <f t="shared" si="298"/>
        <v>-7.277073051244809E-2</v>
      </c>
      <c r="M130" s="12">
        <f t="shared" si="298"/>
        <v>-128.20593396986536</v>
      </c>
      <c r="N130" s="12">
        <f t="shared" si="298"/>
        <v>9.2368890888376853E-3</v>
      </c>
      <c r="O130" s="12">
        <f t="shared" si="298"/>
        <v>-0.67464498569610276</v>
      </c>
      <c r="P130" s="12">
        <f t="shared" si="298"/>
        <v>-1.1015080756702407</v>
      </c>
      <c r="Q130" s="12">
        <f t="shared" si="298"/>
        <v>3.8145229220282815</v>
      </c>
      <c r="R130" s="12">
        <f t="shared" si="298"/>
        <v>-3.8968187138117938</v>
      </c>
      <c r="S130" s="12">
        <f t="shared" si="298"/>
        <v>-4.1037393369655062E-2</v>
      </c>
      <c r="T130" s="12">
        <f t="shared" si="298"/>
        <v>-0.13941083688391753</v>
      </c>
      <c r="U130" s="12">
        <f t="shared" si="298"/>
        <v>0.83765858013855254</v>
      </c>
      <c r="V130" s="12">
        <f t="shared" si="298"/>
        <v>-0.86002145911023953</v>
      </c>
      <c r="W130" s="12">
        <f t="shared" si="298"/>
        <v>-2.1431743070832301E-2</v>
      </c>
      <c r="X130" s="12">
        <f t="shared" ref="X130:Y130" si="299">X131+X132+X136+X137</f>
        <v>1.4631374840030125</v>
      </c>
      <c r="Y130" s="12">
        <f t="shared" si="299"/>
        <v>-7.575369754202177E-2</v>
      </c>
      <c r="Z130" s="12">
        <f t="shared" ref="Z130" si="300">Z131+Z132+Z136+Z137</f>
        <v>-1.6177475523187685</v>
      </c>
      <c r="AA130" s="12">
        <f t="shared" ref="AA130:AB130" si="301">AA131+AA132+AA136+AA137</f>
        <v>4.5657174281547697E-2</v>
      </c>
      <c r="AB130" s="12">
        <f t="shared" si="301"/>
        <v>0.24793546223459861</v>
      </c>
      <c r="AC130" s="26"/>
      <c r="AD130" s="26"/>
    </row>
    <row r="131" spans="1:30" x14ac:dyDescent="0.25">
      <c r="A131" s="17">
        <v>128</v>
      </c>
      <c r="D131" s="7" t="s">
        <v>14</v>
      </c>
      <c r="E131" s="7" t="s">
        <v>23</v>
      </c>
      <c r="F131" s="15">
        <v>-0.45179354728399801</v>
      </c>
      <c r="G131" s="15">
        <v>4.497986352730976E-2</v>
      </c>
      <c r="H131" s="15">
        <v>0.17951684123827505</v>
      </c>
      <c r="I131" s="15">
        <v>-28.692292830696065</v>
      </c>
      <c r="J131" s="15">
        <v>-8.7335443225196485E-2</v>
      </c>
      <c r="K131" s="15">
        <v>-7.5031354490221247E-2</v>
      </c>
      <c r="L131" s="15">
        <v>-7.277073051244809E-2</v>
      </c>
      <c r="M131" s="15">
        <v>-8.4216969865379632E-2</v>
      </c>
      <c r="N131" s="15">
        <v>9.2368890888376853E-3</v>
      </c>
      <c r="O131" s="15">
        <v>-0.89653198569610293</v>
      </c>
      <c r="P131" s="15">
        <v>6.8759243297593642E-3</v>
      </c>
      <c r="Q131" s="15">
        <v>6.3799220282820812E-3</v>
      </c>
      <c r="R131" s="15">
        <v>-0.15946071381179383</v>
      </c>
      <c r="S131" s="15">
        <v>-0.15267939336965508</v>
      </c>
      <c r="T131" s="15">
        <v>-0.13941083688391753</v>
      </c>
      <c r="U131" s="15">
        <v>0.63504858013855259</v>
      </c>
      <c r="V131" s="15">
        <v>-0.89750827136267031</v>
      </c>
      <c r="W131" s="15">
        <v>-0.11023274307083231</v>
      </c>
      <c r="X131" s="15">
        <v>-0.10558351599698756</v>
      </c>
      <c r="Y131" s="15">
        <v>-0.1012223462261348</v>
      </c>
      <c r="Z131" s="15">
        <v>0.41999944768123143</v>
      </c>
      <c r="AA131" s="15">
        <v>-1.6439076457184525</v>
      </c>
      <c r="AB131" s="15">
        <v>-0.19106453776540144</v>
      </c>
      <c r="AC131" s="26"/>
      <c r="AD131" s="26"/>
    </row>
    <row r="132" spans="1:30" x14ac:dyDescent="0.25">
      <c r="A132" s="17">
        <v>129</v>
      </c>
      <c r="D132" s="7" t="s">
        <v>15</v>
      </c>
      <c r="E132" s="7" t="s">
        <v>0</v>
      </c>
      <c r="F132" s="14">
        <f>SUM(F133:F135)</f>
        <v>-0.8009050000000002</v>
      </c>
      <c r="G132" s="14">
        <f t="shared" ref="G132:W132" si="302">SUM(G133:G135)</f>
        <v>-0.31528500000000004</v>
      </c>
      <c r="H132" s="14">
        <f t="shared" si="302"/>
        <v>-1.040456</v>
      </c>
      <c r="I132" s="14">
        <f t="shared" si="302"/>
        <v>16.416199999999996</v>
      </c>
      <c r="J132" s="14">
        <f t="shared" si="302"/>
        <v>1.2</v>
      </c>
      <c r="K132" s="14">
        <f t="shared" si="302"/>
        <v>14.372382999999999</v>
      </c>
      <c r="L132" s="14">
        <f t="shared" si="302"/>
        <v>0</v>
      </c>
      <c r="M132" s="14">
        <f t="shared" si="302"/>
        <v>-128.12171699999999</v>
      </c>
      <c r="N132" s="14">
        <f t="shared" si="302"/>
        <v>0</v>
      </c>
      <c r="O132" s="14">
        <f t="shared" si="302"/>
        <v>0.22188700000000017</v>
      </c>
      <c r="P132" s="14">
        <f t="shared" si="302"/>
        <v>-1.108384</v>
      </c>
      <c r="Q132" s="14">
        <f t="shared" si="302"/>
        <v>3.8081429999999994</v>
      </c>
      <c r="R132" s="14">
        <f t="shared" si="302"/>
        <v>-3.737358</v>
      </c>
      <c r="S132" s="14">
        <f t="shared" si="302"/>
        <v>0.11164200000000002</v>
      </c>
      <c r="T132" s="14">
        <f t="shared" si="302"/>
        <v>0</v>
      </c>
      <c r="U132" s="14">
        <f t="shared" si="302"/>
        <v>0.20260999999999996</v>
      </c>
      <c r="V132" s="14">
        <f t="shared" si="302"/>
        <v>3.7486812252430779E-2</v>
      </c>
      <c r="W132" s="14">
        <f t="shared" si="302"/>
        <v>8.8801000000000005E-2</v>
      </c>
      <c r="X132" s="14">
        <f t="shared" ref="X132:Y132" si="303">SUM(X133:X135)</f>
        <v>1.568721</v>
      </c>
      <c r="Y132" s="14">
        <f t="shared" si="303"/>
        <v>2.5468648684113027E-2</v>
      </c>
      <c r="Z132" s="14">
        <f t="shared" ref="Z132" si="304">SUM(Z133:Z135)</f>
        <v>-2.037747</v>
      </c>
      <c r="AA132" s="14">
        <f t="shared" ref="AA132:AB132" si="305">SUM(AA133:AA135)</f>
        <v>1.6895648200000002</v>
      </c>
      <c r="AB132" s="14">
        <f t="shared" si="305"/>
        <v>0.43900000000000006</v>
      </c>
      <c r="AC132" s="26"/>
      <c r="AD132" s="26"/>
    </row>
    <row r="133" spans="1:30" x14ac:dyDescent="0.25">
      <c r="A133" s="17">
        <v>130</v>
      </c>
      <c r="D133" s="8" t="s">
        <v>26</v>
      </c>
      <c r="E133" s="8" t="s">
        <v>25</v>
      </c>
      <c r="F133" s="15">
        <v>0</v>
      </c>
      <c r="G133" s="15">
        <v>0</v>
      </c>
      <c r="H133" s="15">
        <v>0</v>
      </c>
      <c r="I133" s="15">
        <v>0</v>
      </c>
      <c r="J133" s="15">
        <v>0</v>
      </c>
      <c r="K133" s="15">
        <v>0</v>
      </c>
      <c r="L133" s="15">
        <v>0</v>
      </c>
      <c r="M133" s="15">
        <v>0</v>
      </c>
      <c r="N133" s="15">
        <v>0</v>
      </c>
      <c r="O133" s="15">
        <v>0</v>
      </c>
      <c r="P133" s="15">
        <v>0</v>
      </c>
      <c r="Q133" s="15">
        <v>0</v>
      </c>
      <c r="R133" s="15">
        <v>0</v>
      </c>
      <c r="S133" s="15">
        <v>0</v>
      </c>
      <c r="T133" s="15">
        <v>0</v>
      </c>
      <c r="U133" s="15">
        <v>0</v>
      </c>
      <c r="V133" s="15">
        <v>0</v>
      </c>
      <c r="W133" s="15">
        <v>0</v>
      </c>
      <c r="X133" s="15">
        <v>0</v>
      </c>
      <c r="Y133" s="15">
        <v>0</v>
      </c>
      <c r="Z133" s="15">
        <v>0</v>
      </c>
      <c r="AA133" s="15">
        <v>0</v>
      </c>
      <c r="AB133" s="15">
        <v>0</v>
      </c>
      <c r="AC133" s="26"/>
      <c r="AD133" s="26"/>
    </row>
    <row r="134" spans="1:30" x14ac:dyDescent="0.25">
      <c r="A134" s="17">
        <v>131</v>
      </c>
      <c r="D134" s="8" t="s">
        <v>16</v>
      </c>
      <c r="E134" s="8" t="s">
        <v>27</v>
      </c>
      <c r="F134" s="15">
        <v>5.9103742400803618</v>
      </c>
      <c r="G134" s="15">
        <v>-0.77848529093910446</v>
      </c>
      <c r="H134" s="15">
        <v>-0.36725767604263487</v>
      </c>
      <c r="I134" s="15">
        <v>17.528373679794903</v>
      </c>
      <c r="J134" s="15">
        <v>0.83458372562233474</v>
      </c>
      <c r="K134" s="15">
        <v>14.588123359500955</v>
      </c>
      <c r="L134" s="15">
        <v>2.4749030679547328</v>
      </c>
      <c r="M134" s="15">
        <v>-127.6266530340426</v>
      </c>
      <c r="N134" s="15">
        <v>0</v>
      </c>
      <c r="O134" s="15">
        <v>-2.3467450016579829</v>
      </c>
      <c r="P134" s="15">
        <v>-1.3762209785490152</v>
      </c>
      <c r="Q134" s="15">
        <v>7.7390490072379325</v>
      </c>
      <c r="R134" s="15">
        <v>-3.2543149774864992</v>
      </c>
      <c r="S134" s="15">
        <v>0.47237096714899107</v>
      </c>
      <c r="T134" s="15">
        <v>-0.13861001585151644</v>
      </c>
      <c r="U134" s="15">
        <v>0.5403590345893301</v>
      </c>
      <c r="V134" s="15">
        <v>-6.9260609681895291E-2</v>
      </c>
      <c r="W134" s="15">
        <v>3.7370573362038736E-2</v>
      </c>
      <c r="X134" s="15">
        <v>1.3616224980880327</v>
      </c>
      <c r="Y134" s="15">
        <v>0.46039200000000002</v>
      </c>
      <c r="Z134" s="15">
        <v>-2.1813093979211264</v>
      </c>
      <c r="AA134" s="15">
        <v>1.6482720022355988</v>
      </c>
      <c r="AB134" s="15">
        <v>1.221912539568784</v>
      </c>
      <c r="AC134" s="26"/>
      <c r="AD134" s="26"/>
    </row>
    <row r="135" spans="1:30" x14ac:dyDescent="0.25">
      <c r="A135" s="17">
        <v>132</v>
      </c>
      <c r="D135" s="8" t="s">
        <v>17</v>
      </c>
      <c r="E135" s="8" t="s">
        <v>28</v>
      </c>
      <c r="F135" s="15">
        <v>-6.711279240080362</v>
      </c>
      <c r="G135" s="15">
        <v>0.46320029093910442</v>
      </c>
      <c r="H135" s="15">
        <v>-0.67319832395736512</v>
      </c>
      <c r="I135" s="15">
        <v>-1.1121736797949051</v>
      </c>
      <c r="J135" s="15">
        <v>0.36541627437766522</v>
      </c>
      <c r="K135" s="15">
        <v>-0.21574035950095549</v>
      </c>
      <c r="L135" s="15">
        <v>-2.4749030679547328</v>
      </c>
      <c r="M135" s="15">
        <v>-0.49506396595737989</v>
      </c>
      <c r="N135" s="15">
        <v>0</v>
      </c>
      <c r="O135" s="15">
        <v>2.5686320016579831</v>
      </c>
      <c r="P135" s="15">
        <v>0.26783697854901511</v>
      </c>
      <c r="Q135" s="15">
        <v>-3.9309060072379332</v>
      </c>
      <c r="R135" s="15">
        <v>-0.48304302251350073</v>
      </c>
      <c r="S135" s="15">
        <v>-0.36072896714899105</v>
      </c>
      <c r="T135" s="15">
        <v>0.13861001585151644</v>
      </c>
      <c r="U135" s="15">
        <v>-0.33774903458933014</v>
      </c>
      <c r="V135" s="15">
        <v>0.10674742193432607</v>
      </c>
      <c r="W135" s="15">
        <v>5.1430426637961268E-2</v>
      </c>
      <c r="X135" s="15">
        <v>0.20709850191196733</v>
      </c>
      <c r="Y135" s="15">
        <v>-0.434923351315887</v>
      </c>
      <c r="Z135" s="15">
        <v>0.14356239792112646</v>
      </c>
      <c r="AA135" s="15">
        <v>4.1292817764401413E-2</v>
      </c>
      <c r="AB135" s="15">
        <v>-0.78291253956878393</v>
      </c>
      <c r="AC135" s="26"/>
      <c r="AD135" s="26"/>
    </row>
    <row r="136" spans="1:30" x14ac:dyDescent="0.25">
      <c r="A136" s="17">
        <v>133</v>
      </c>
      <c r="D136" s="7" t="s">
        <v>1</v>
      </c>
      <c r="E136" s="7" t="s">
        <v>29</v>
      </c>
      <c r="F136" s="14">
        <v>0</v>
      </c>
      <c r="G136" s="14">
        <v>0</v>
      </c>
      <c r="H136" s="14">
        <v>0</v>
      </c>
      <c r="I136" s="14">
        <v>0</v>
      </c>
      <c r="J136" s="14">
        <v>0</v>
      </c>
      <c r="K136" s="14">
        <v>0</v>
      </c>
      <c r="L136" s="14">
        <v>0</v>
      </c>
      <c r="M136" s="14">
        <v>0</v>
      </c>
      <c r="N136" s="14">
        <v>0</v>
      </c>
      <c r="O136" s="14">
        <v>0</v>
      </c>
      <c r="P136" s="14">
        <v>0</v>
      </c>
      <c r="Q136" s="14">
        <v>0</v>
      </c>
      <c r="R136" s="14">
        <v>0</v>
      </c>
      <c r="S136" s="14">
        <v>0</v>
      </c>
      <c r="T136" s="14">
        <v>0</v>
      </c>
      <c r="U136" s="14">
        <v>0</v>
      </c>
      <c r="V136" s="14">
        <v>0</v>
      </c>
      <c r="W136" s="14">
        <v>0</v>
      </c>
      <c r="X136" s="14">
        <v>0</v>
      </c>
      <c r="Y136" s="14">
        <v>0</v>
      </c>
      <c r="Z136" s="14">
        <v>0</v>
      </c>
      <c r="AA136" s="14">
        <v>0</v>
      </c>
      <c r="AB136" s="14">
        <v>0</v>
      </c>
      <c r="AC136" s="26"/>
      <c r="AD136" s="26"/>
    </row>
    <row r="137" spans="1:30" x14ac:dyDescent="0.25">
      <c r="A137" s="17">
        <v>134</v>
      </c>
      <c r="D137" s="7" t="s">
        <v>30</v>
      </c>
      <c r="E137" s="7" t="s">
        <v>31</v>
      </c>
      <c r="F137" s="14">
        <v>0</v>
      </c>
      <c r="G137" s="14">
        <v>0</v>
      </c>
      <c r="H137" s="14">
        <v>0</v>
      </c>
      <c r="I137" s="14">
        <v>0</v>
      </c>
      <c r="J137" s="14">
        <v>0</v>
      </c>
      <c r="K137" s="14">
        <v>0</v>
      </c>
      <c r="L137" s="14">
        <v>0</v>
      </c>
      <c r="M137" s="14">
        <v>0</v>
      </c>
      <c r="N137" s="14">
        <v>0</v>
      </c>
      <c r="O137" s="14">
        <v>0</v>
      </c>
      <c r="P137" s="14">
        <v>0</v>
      </c>
      <c r="Q137" s="14">
        <v>0</v>
      </c>
      <c r="R137" s="14">
        <v>0</v>
      </c>
      <c r="S137" s="14">
        <v>0</v>
      </c>
      <c r="T137" s="14">
        <v>0</v>
      </c>
      <c r="U137" s="14">
        <v>0</v>
      </c>
      <c r="V137" s="14">
        <v>0</v>
      </c>
      <c r="W137" s="14">
        <v>0</v>
      </c>
      <c r="X137" s="14">
        <v>0</v>
      </c>
      <c r="Y137" s="14">
        <v>0</v>
      </c>
      <c r="Z137" s="14">
        <v>0</v>
      </c>
      <c r="AA137" s="14">
        <v>0</v>
      </c>
      <c r="AB137" s="14">
        <v>0</v>
      </c>
      <c r="AC137" s="26"/>
      <c r="AD137" s="26"/>
    </row>
    <row r="138" spans="1:30" ht="15.75" x14ac:dyDescent="0.25">
      <c r="A138" s="17">
        <v>135</v>
      </c>
      <c r="D138" s="6" t="s">
        <v>19</v>
      </c>
      <c r="E138" s="6" t="s">
        <v>22</v>
      </c>
      <c r="F138" s="12">
        <v>4.8725678129812877E-4</v>
      </c>
      <c r="G138" s="12">
        <v>3.7520678120101271E-2</v>
      </c>
      <c r="H138" s="12">
        <v>2.7009201675849909E-4</v>
      </c>
      <c r="I138" s="12">
        <v>6.0255058843844747E-4</v>
      </c>
      <c r="J138" s="12">
        <v>6.2528817100488255E-7</v>
      </c>
      <c r="K138" s="12">
        <v>2.6872393753571814E-2</v>
      </c>
      <c r="L138" s="12">
        <v>-6.5311921921600154E-4</v>
      </c>
      <c r="M138" s="12">
        <v>1.6897005194897161E-2</v>
      </c>
      <c r="N138" s="12">
        <v>3.7800038896888875E-4</v>
      </c>
      <c r="O138" s="12">
        <v>0.1462793114484858</v>
      </c>
      <c r="P138" s="12">
        <v>4.1242776747498953</v>
      </c>
      <c r="Q138" s="12">
        <v>0.15693927118654374</v>
      </c>
      <c r="R138" s="12">
        <v>0.14075931069679215</v>
      </c>
      <c r="S138" s="12">
        <v>0.32273456279813839</v>
      </c>
      <c r="T138" s="12">
        <v>8.1130685379100356E-2</v>
      </c>
      <c r="U138" s="12">
        <v>0.23687360026024357</v>
      </c>
      <c r="V138" s="12">
        <v>0.3702392001867767</v>
      </c>
      <c r="W138" s="12">
        <v>2.6281510306794691</v>
      </c>
      <c r="X138" s="12">
        <v>-3.8607220991693295E-2</v>
      </c>
      <c r="Y138" s="12">
        <v>0.99509362137064306</v>
      </c>
      <c r="Z138" s="12">
        <v>0.25198008911246672</v>
      </c>
      <c r="AA138" s="12">
        <v>-5.5300984358098437E-3</v>
      </c>
      <c r="AB138" s="12">
        <v>0.15130564709080332</v>
      </c>
      <c r="AC138" s="26"/>
      <c r="AD138" s="26"/>
    </row>
    <row r="139" spans="1:30" ht="9" customHeight="1" x14ac:dyDescent="0.25">
      <c r="D139" s="9"/>
      <c r="E139" s="9"/>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26"/>
      <c r="AD139" s="26"/>
    </row>
    <row r="140" spans="1:30" ht="35.1" customHeight="1" x14ac:dyDescent="0.35">
      <c r="A140" s="17">
        <v>137</v>
      </c>
      <c r="B140" s="10" t="s">
        <v>59</v>
      </c>
      <c r="C140" s="3"/>
      <c r="D140" s="3"/>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26"/>
      <c r="AD140" s="26"/>
    </row>
    <row r="141" spans="1:30" ht="26.1" customHeight="1" x14ac:dyDescent="0.35">
      <c r="A141" s="17">
        <v>138</v>
      </c>
      <c r="B141" s="3"/>
      <c r="C141" s="5" t="s">
        <v>10</v>
      </c>
      <c r="D141" s="5"/>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26"/>
      <c r="AD141" s="26"/>
    </row>
    <row r="142" spans="1:30" ht="18" customHeight="1" x14ac:dyDescent="0.25">
      <c r="A142" s="17">
        <v>139</v>
      </c>
      <c r="D142" s="6" t="s">
        <v>13</v>
      </c>
      <c r="E142" s="6" t="s">
        <v>35</v>
      </c>
      <c r="F142" s="12">
        <f>F143+F144+F148+F149</f>
        <v>47.937649162735383</v>
      </c>
      <c r="G142" s="12">
        <f t="shared" ref="G142:W142" si="306">G143+G144+G148+G149</f>
        <v>173.81464584180537</v>
      </c>
      <c r="H142" s="12">
        <f t="shared" si="306"/>
        <v>-61.107031111887032</v>
      </c>
      <c r="I142" s="12">
        <f t="shared" si="306"/>
        <v>-8.7896736422408015</v>
      </c>
      <c r="J142" s="12">
        <f t="shared" si="306"/>
        <v>-32.365546924796618</v>
      </c>
      <c r="K142" s="12">
        <f t="shared" si="306"/>
        <v>30.803613362526846</v>
      </c>
      <c r="L142" s="12">
        <f t="shared" si="306"/>
        <v>480.26369024094436</v>
      </c>
      <c r="M142" s="12">
        <f t="shared" si="306"/>
        <v>-73.994490534631126</v>
      </c>
      <c r="N142" s="12">
        <f t="shared" si="306"/>
        <v>509.32838018739255</v>
      </c>
      <c r="O142" s="12">
        <f t="shared" si="306"/>
        <v>-204.77580873520134</v>
      </c>
      <c r="P142" s="12">
        <f t="shared" si="306"/>
        <v>-159.05580250963206</v>
      </c>
      <c r="Q142" s="12">
        <f t="shared" si="306"/>
        <v>-160.59834966775992</v>
      </c>
      <c r="R142" s="12">
        <f t="shared" si="306"/>
        <v>64.037491473798951</v>
      </c>
      <c r="S142" s="12">
        <f t="shared" si="306"/>
        <v>202.29236936851649</v>
      </c>
      <c r="T142" s="12">
        <f t="shared" si="306"/>
        <v>-173.1309908801075</v>
      </c>
      <c r="U142" s="12">
        <f t="shared" si="306"/>
        <v>418.29177734979419</v>
      </c>
      <c r="V142" s="12">
        <f t="shared" si="306"/>
        <v>-6.3699353499058162</v>
      </c>
      <c r="W142" s="12">
        <f t="shared" si="306"/>
        <v>-43.928783923807075</v>
      </c>
      <c r="X142" s="12">
        <f t="shared" ref="X142:Y142" si="307">X143+X144+X148+X149</f>
        <v>130.50617946953739</v>
      </c>
      <c r="Y142" s="12">
        <f t="shared" si="307"/>
        <v>-304.94645091334974</v>
      </c>
      <c r="Z142" s="12">
        <f t="shared" ref="Z142" si="308">Z143+Z144+Z148+Z149</f>
        <v>428.10876483303764</v>
      </c>
      <c r="AA142" s="12">
        <f t="shared" ref="AA142:AB142" si="309">AA143+AA144+AA148+AA149</f>
        <v>117.07221760246273</v>
      </c>
      <c r="AB142" s="12">
        <f t="shared" si="309"/>
        <v>321.9601970905689</v>
      </c>
      <c r="AC142" s="26"/>
      <c r="AD142" s="26"/>
    </row>
    <row r="143" spans="1:30" x14ac:dyDescent="0.25">
      <c r="A143" s="17">
        <v>140</v>
      </c>
      <c r="D143" s="7" t="s">
        <v>14</v>
      </c>
      <c r="E143" s="7" t="s">
        <v>23</v>
      </c>
      <c r="F143" s="14">
        <v>0</v>
      </c>
      <c r="G143" s="14">
        <v>0</v>
      </c>
      <c r="H143" s="14">
        <v>0</v>
      </c>
      <c r="I143" s="14">
        <v>0</v>
      </c>
      <c r="J143" s="14">
        <v>0</v>
      </c>
      <c r="K143" s="14">
        <v>0</v>
      </c>
      <c r="L143" s="14">
        <v>0</v>
      </c>
      <c r="M143" s="14">
        <v>0</v>
      </c>
      <c r="N143" s="14">
        <v>0</v>
      </c>
      <c r="O143" s="14">
        <v>0</v>
      </c>
      <c r="P143" s="14">
        <v>0</v>
      </c>
      <c r="Q143" s="14">
        <v>0</v>
      </c>
      <c r="R143" s="14">
        <v>0</v>
      </c>
      <c r="S143" s="14">
        <v>0</v>
      </c>
      <c r="T143" s="14">
        <v>0</v>
      </c>
      <c r="U143" s="14">
        <v>0</v>
      </c>
      <c r="V143" s="14">
        <v>0</v>
      </c>
      <c r="W143" s="14">
        <v>0</v>
      </c>
      <c r="X143" s="14">
        <v>0</v>
      </c>
      <c r="Y143" s="14">
        <v>0</v>
      </c>
      <c r="Z143" s="14">
        <v>0</v>
      </c>
      <c r="AA143" s="14">
        <v>0</v>
      </c>
      <c r="AB143" s="14">
        <v>0</v>
      </c>
      <c r="AC143" s="26"/>
      <c r="AD143" s="26"/>
    </row>
    <row r="144" spans="1:30" x14ac:dyDescent="0.25">
      <c r="A144" s="17">
        <v>141</v>
      </c>
      <c r="D144" s="7" t="s">
        <v>15</v>
      </c>
      <c r="E144" s="7" t="s">
        <v>0</v>
      </c>
      <c r="F144" s="14">
        <f>SUM(F145:F147)</f>
        <v>47.937649162735383</v>
      </c>
      <c r="G144" s="14">
        <f t="shared" ref="G144:W144" si="310">SUM(G145:G147)</f>
        <v>173.81464584180537</v>
      </c>
      <c r="H144" s="14">
        <f t="shared" si="310"/>
        <v>-61.107031111887032</v>
      </c>
      <c r="I144" s="14">
        <f t="shared" si="310"/>
        <v>-8.7896736422408015</v>
      </c>
      <c r="J144" s="14">
        <f t="shared" si="310"/>
        <v>-32.365546924796618</v>
      </c>
      <c r="K144" s="14">
        <f t="shared" si="310"/>
        <v>30.803613362526846</v>
      </c>
      <c r="L144" s="14">
        <f t="shared" si="310"/>
        <v>480.26369024094436</v>
      </c>
      <c r="M144" s="14">
        <f t="shared" si="310"/>
        <v>-73.994490534631126</v>
      </c>
      <c r="N144" s="14">
        <f t="shared" si="310"/>
        <v>509.32838018739255</v>
      </c>
      <c r="O144" s="14">
        <f t="shared" si="310"/>
        <v>-204.77580873520134</v>
      </c>
      <c r="P144" s="14">
        <f t="shared" si="310"/>
        <v>-159.05580250963206</v>
      </c>
      <c r="Q144" s="14">
        <f t="shared" si="310"/>
        <v>-160.59834966775992</v>
      </c>
      <c r="R144" s="14">
        <f t="shared" si="310"/>
        <v>64.037491473798951</v>
      </c>
      <c r="S144" s="14">
        <f t="shared" si="310"/>
        <v>202.29236936851649</v>
      </c>
      <c r="T144" s="14">
        <f t="shared" si="310"/>
        <v>-173.1309908801075</v>
      </c>
      <c r="U144" s="14">
        <f t="shared" si="310"/>
        <v>418.29177734979419</v>
      </c>
      <c r="V144" s="14">
        <f t="shared" si="310"/>
        <v>-6.3699353499058162</v>
      </c>
      <c r="W144" s="14">
        <f t="shared" si="310"/>
        <v>-43.928783923807075</v>
      </c>
      <c r="X144" s="14">
        <f t="shared" ref="X144:Y144" si="311">SUM(X145:X147)</f>
        <v>130.50617946953739</v>
      </c>
      <c r="Y144" s="14">
        <f t="shared" si="311"/>
        <v>-304.94645091334974</v>
      </c>
      <c r="Z144" s="14">
        <f t="shared" ref="Z144" si="312">SUM(Z145:Z147)</f>
        <v>428.10876483303764</v>
      </c>
      <c r="AA144" s="14">
        <f t="shared" ref="AA144:AB144" si="313">SUM(AA145:AA147)</f>
        <v>117.07221760246273</v>
      </c>
      <c r="AB144" s="14">
        <f t="shared" si="313"/>
        <v>321.9601970905689</v>
      </c>
      <c r="AC144" s="26"/>
      <c r="AD144" s="26"/>
    </row>
    <row r="145" spans="1:30" x14ac:dyDescent="0.25">
      <c r="A145" s="17">
        <v>142</v>
      </c>
      <c r="D145" s="8" t="s">
        <v>26</v>
      </c>
      <c r="E145" s="8" t="s">
        <v>25</v>
      </c>
      <c r="F145" s="15">
        <v>47.937649162735383</v>
      </c>
      <c r="G145" s="15">
        <v>173.81464584180537</v>
      </c>
      <c r="H145" s="15">
        <v>-61.107031111887032</v>
      </c>
      <c r="I145" s="15">
        <v>-8.7896736422408015</v>
      </c>
      <c r="J145" s="15">
        <v>-32.365546924796618</v>
      </c>
      <c r="K145" s="15">
        <v>30.803613362526846</v>
      </c>
      <c r="L145" s="15">
        <v>480.26369024094436</v>
      </c>
      <c r="M145" s="15">
        <v>-73.994490534631126</v>
      </c>
      <c r="N145" s="15">
        <v>509.32838018739255</v>
      </c>
      <c r="O145" s="15">
        <v>-204.77580873520134</v>
      </c>
      <c r="P145" s="15">
        <v>-159.05580250963206</v>
      </c>
      <c r="Q145" s="15">
        <v>-160.59834966775992</v>
      </c>
      <c r="R145" s="15">
        <v>64.037491473798951</v>
      </c>
      <c r="S145" s="15">
        <v>202.29236936851649</v>
      </c>
      <c r="T145" s="15">
        <v>-173.1309908801075</v>
      </c>
      <c r="U145" s="15">
        <v>418.29177734979419</v>
      </c>
      <c r="V145" s="15">
        <v>-6.3699353499058162</v>
      </c>
      <c r="W145" s="15">
        <v>-43.928783923807075</v>
      </c>
      <c r="X145" s="15">
        <v>130.50617946953739</v>
      </c>
      <c r="Y145" s="15">
        <v>-304.94645091334974</v>
      </c>
      <c r="Z145" s="15">
        <v>428.10876483303764</v>
      </c>
      <c r="AA145" s="15">
        <v>117.07221760246273</v>
      </c>
      <c r="AB145" s="15">
        <v>321.9601970905689</v>
      </c>
      <c r="AC145" s="26"/>
      <c r="AD145" s="26"/>
    </row>
    <row r="146" spans="1:30" x14ac:dyDescent="0.25">
      <c r="A146" s="17">
        <v>143</v>
      </c>
      <c r="D146" s="8" t="s">
        <v>16</v>
      </c>
      <c r="E146" s="8" t="s">
        <v>27</v>
      </c>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26"/>
      <c r="AD146" s="26"/>
    </row>
    <row r="147" spans="1:30" x14ac:dyDescent="0.25">
      <c r="A147" s="17">
        <v>144</v>
      </c>
      <c r="D147" s="8" t="s">
        <v>17</v>
      </c>
      <c r="E147" s="8" t="s">
        <v>28</v>
      </c>
      <c r="F147" s="15">
        <v>0</v>
      </c>
      <c r="G147" s="15">
        <v>0</v>
      </c>
      <c r="H147" s="15">
        <v>0</v>
      </c>
      <c r="I147" s="15">
        <v>0</v>
      </c>
      <c r="J147" s="15">
        <v>0</v>
      </c>
      <c r="K147" s="15">
        <v>0</v>
      </c>
      <c r="L147" s="15">
        <v>0</v>
      </c>
      <c r="M147" s="15">
        <v>0</v>
      </c>
      <c r="N147" s="15">
        <v>0</v>
      </c>
      <c r="O147" s="15">
        <v>0</v>
      </c>
      <c r="P147" s="15">
        <v>0</v>
      </c>
      <c r="Q147" s="15">
        <v>0</v>
      </c>
      <c r="R147" s="15">
        <v>0</v>
      </c>
      <c r="S147" s="15">
        <v>0</v>
      </c>
      <c r="T147" s="15">
        <v>0</v>
      </c>
      <c r="U147" s="15">
        <v>0</v>
      </c>
      <c r="V147" s="15">
        <v>0</v>
      </c>
      <c r="W147" s="15">
        <v>0</v>
      </c>
      <c r="X147" s="15">
        <v>0</v>
      </c>
      <c r="Y147" s="15">
        <v>0</v>
      </c>
      <c r="Z147" s="15">
        <v>0</v>
      </c>
      <c r="AA147" s="15">
        <v>0</v>
      </c>
      <c r="AB147" s="15">
        <v>0</v>
      </c>
      <c r="AC147" s="26"/>
      <c r="AD147" s="26"/>
    </row>
    <row r="148" spans="1:30" x14ac:dyDescent="0.25">
      <c r="A148" s="17">
        <v>145</v>
      </c>
      <c r="D148" s="7" t="s">
        <v>18</v>
      </c>
      <c r="E148" s="7" t="s">
        <v>29</v>
      </c>
      <c r="F148" s="15">
        <v>0</v>
      </c>
      <c r="G148" s="15">
        <v>0</v>
      </c>
      <c r="H148" s="15">
        <v>0</v>
      </c>
      <c r="I148" s="15">
        <v>0</v>
      </c>
      <c r="J148" s="15">
        <v>0</v>
      </c>
      <c r="K148" s="15">
        <v>0</v>
      </c>
      <c r="L148" s="15">
        <v>0</v>
      </c>
      <c r="M148" s="15">
        <v>0</v>
      </c>
      <c r="N148" s="15">
        <v>0</v>
      </c>
      <c r="O148" s="15">
        <v>0</v>
      </c>
      <c r="P148" s="15">
        <v>0</v>
      </c>
      <c r="Q148" s="15">
        <v>0</v>
      </c>
      <c r="R148" s="15">
        <v>0</v>
      </c>
      <c r="S148" s="15">
        <v>0</v>
      </c>
      <c r="T148" s="15">
        <v>0</v>
      </c>
      <c r="U148" s="15">
        <v>0</v>
      </c>
      <c r="V148" s="15">
        <v>0</v>
      </c>
      <c r="W148" s="15">
        <v>0</v>
      </c>
      <c r="X148" s="15">
        <v>0</v>
      </c>
      <c r="Y148" s="15">
        <v>0</v>
      </c>
      <c r="Z148" s="15">
        <v>0</v>
      </c>
      <c r="AA148" s="15">
        <v>0</v>
      </c>
      <c r="AB148" s="15">
        <v>0</v>
      </c>
      <c r="AC148" s="26"/>
      <c r="AD148" s="26"/>
    </row>
    <row r="149" spans="1:30" x14ac:dyDescent="0.25">
      <c r="A149" s="17">
        <v>146</v>
      </c>
      <c r="D149" s="7" t="s">
        <v>30</v>
      </c>
      <c r="E149" s="7" t="s">
        <v>31</v>
      </c>
      <c r="F149" s="15">
        <v>0</v>
      </c>
      <c r="G149" s="15">
        <v>0</v>
      </c>
      <c r="H149" s="15">
        <v>0</v>
      </c>
      <c r="I149" s="15">
        <v>0</v>
      </c>
      <c r="J149" s="15">
        <v>0</v>
      </c>
      <c r="K149" s="15">
        <v>0</v>
      </c>
      <c r="L149" s="15">
        <v>0</v>
      </c>
      <c r="M149" s="15">
        <v>0</v>
      </c>
      <c r="N149" s="15">
        <v>0</v>
      </c>
      <c r="O149" s="15">
        <v>0</v>
      </c>
      <c r="P149" s="15">
        <v>0</v>
      </c>
      <c r="Q149" s="15">
        <v>0</v>
      </c>
      <c r="R149" s="15">
        <v>0</v>
      </c>
      <c r="S149" s="15">
        <v>0</v>
      </c>
      <c r="T149" s="15">
        <v>0</v>
      </c>
      <c r="U149" s="15">
        <v>0</v>
      </c>
      <c r="V149" s="15">
        <v>0</v>
      </c>
      <c r="W149" s="15">
        <v>0</v>
      </c>
      <c r="X149" s="15">
        <v>0</v>
      </c>
      <c r="Y149" s="15">
        <v>0</v>
      </c>
      <c r="Z149" s="15">
        <v>0</v>
      </c>
      <c r="AA149" s="15">
        <v>0</v>
      </c>
      <c r="AB149" s="15">
        <v>0</v>
      </c>
      <c r="AC149" s="26"/>
      <c r="AD149" s="26"/>
    </row>
    <row r="150" spans="1:30" ht="15.75" x14ac:dyDescent="0.25">
      <c r="A150" s="17">
        <v>147</v>
      </c>
      <c r="D150" s="6" t="s">
        <v>19</v>
      </c>
      <c r="E150" s="6" t="s">
        <v>22</v>
      </c>
      <c r="F150" s="12">
        <v>3.1382792002507971</v>
      </c>
      <c r="G150" s="12">
        <v>-1.2406434204978112</v>
      </c>
      <c r="H150" s="12">
        <v>0.93700885273518719</v>
      </c>
      <c r="I150" s="12">
        <v>-2.1919918936321778</v>
      </c>
      <c r="J150" s="12">
        <v>7.2082505913749975</v>
      </c>
      <c r="K150" s="12">
        <v>-5.6471959124654845</v>
      </c>
      <c r="L150" s="12">
        <v>-1.8508166083497797</v>
      </c>
      <c r="M150" s="12">
        <v>-0.91221407815997813</v>
      </c>
      <c r="N150" s="12">
        <v>7.9242832008969453</v>
      </c>
      <c r="O150" s="12">
        <v>4.7023454700310996</v>
      </c>
      <c r="P150" s="12">
        <v>-15.949823635162831</v>
      </c>
      <c r="Q150" s="12">
        <v>-3.1801281589895796</v>
      </c>
      <c r="R150" s="12">
        <v>1.1597026514538273</v>
      </c>
      <c r="S150" s="12">
        <v>1.1531188410104214</v>
      </c>
      <c r="T150" s="12">
        <v>1.6308671977002145</v>
      </c>
      <c r="U150" s="12">
        <v>0.12761693072822178</v>
      </c>
      <c r="V150" s="12">
        <v>-2.776577114032722</v>
      </c>
      <c r="W150" s="12">
        <v>-0.58776812361605923</v>
      </c>
      <c r="X150" s="12">
        <v>16.750336812134954</v>
      </c>
      <c r="Y150" s="12">
        <v>6.5741850868163283</v>
      </c>
      <c r="Z150" s="12">
        <v>6.0352621666418651</v>
      </c>
      <c r="AA150" s="12">
        <v>-10.546825400861831</v>
      </c>
      <c r="AB150" s="12">
        <v>-0.55026022754470538</v>
      </c>
      <c r="AC150" s="26"/>
      <c r="AD150" s="26"/>
    </row>
    <row r="151" spans="1:30" ht="9" customHeight="1" x14ac:dyDescent="0.25">
      <c r="A151" s="17">
        <v>148</v>
      </c>
      <c r="D151" s="9"/>
      <c r="E151" s="9"/>
      <c r="F151" s="11">
        <v>0</v>
      </c>
      <c r="G151" s="11">
        <v>0</v>
      </c>
      <c r="H151" s="11">
        <v>0</v>
      </c>
      <c r="I151" s="11">
        <v>0</v>
      </c>
      <c r="J151" s="11">
        <v>0</v>
      </c>
      <c r="K151" s="11">
        <v>0</v>
      </c>
      <c r="L151" s="11">
        <v>0</v>
      </c>
      <c r="M151" s="11">
        <v>0</v>
      </c>
      <c r="N151" s="11">
        <v>0</v>
      </c>
      <c r="O151" s="11">
        <v>0</v>
      </c>
      <c r="P151" s="11">
        <v>0</v>
      </c>
      <c r="Q151" s="11">
        <v>0</v>
      </c>
      <c r="R151" s="11">
        <v>0</v>
      </c>
      <c r="S151" s="11">
        <v>0</v>
      </c>
      <c r="T151" s="11">
        <v>0</v>
      </c>
      <c r="U151" s="11">
        <v>0</v>
      </c>
      <c r="V151" s="11">
        <v>0</v>
      </c>
      <c r="W151" s="11">
        <v>0</v>
      </c>
      <c r="X151" s="11">
        <v>0</v>
      </c>
      <c r="Y151" s="11">
        <v>0</v>
      </c>
      <c r="Z151" s="11">
        <v>0</v>
      </c>
      <c r="AA151" s="11">
        <v>0</v>
      </c>
      <c r="AB151" s="11">
        <v>0</v>
      </c>
      <c r="AC151" s="26"/>
      <c r="AD151" s="26"/>
    </row>
    <row r="152" spans="1:30" ht="26.1" customHeight="1" x14ac:dyDescent="0.35">
      <c r="A152" s="17">
        <v>149</v>
      </c>
      <c r="B152" s="3"/>
      <c r="C152" s="5" t="s">
        <v>11</v>
      </c>
      <c r="D152" s="5"/>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26"/>
      <c r="AD152" s="26"/>
    </row>
    <row r="153" spans="1:30" ht="18" customHeight="1" x14ac:dyDescent="0.25">
      <c r="A153" s="17">
        <v>150</v>
      </c>
      <c r="D153" s="6" t="s">
        <v>13</v>
      </c>
      <c r="E153" s="6" t="s">
        <v>35</v>
      </c>
      <c r="F153" s="12">
        <f t="shared" ref="F153" si="314">F154+F155+F159+F160</f>
        <v>-0.39323899999988043</v>
      </c>
      <c r="G153" s="12">
        <f t="shared" ref="G153:W153" si="315">G154+G155+G159+G160</f>
        <v>-1.159324000000197</v>
      </c>
      <c r="H153" s="12">
        <f t="shared" si="315"/>
        <v>2.9202200000001994</v>
      </c>
      <c r="I153" s="12">
        <f t="shared" si="315"/>
        <v>18.644733999999971</v>
      </c>
      <c r="J153" s="12">
        <f t="shared" si="315"/>
        <v>6.2044939999998405</v>
      </c>
      <c r="K153" s="12">
        <f t="shared" si="315"/>
        <v>-18.900515999999925</v>
      </c>
      <c r="L153" s="12">
        <f t="shared" si="315"/>
        <v>-5.7987820000000738</v>
      </c>
      <c r="M153" s="12">
        <f t="shared" si="315"/>
        <v>8.9929990000000544</v>
      </c>
      <c r="N153" s="12">
        <f t="shared" si="315"/>
        <v>7.6253169999999955</v>
      </c>
      <c r="O153" s="12">
        <f t="shared" si="315"/>
        <v>-5.7770390000000589</v>
      </c>
      <c r="P153" s="12">
        <f t="shared" si="315"/>
        <v>68.440576000000149</v>
      </c>
      <c r="Q153" s="12">
        <f t="shared" si="315"/>
        <v>55.737956000000075</v>
      </c>
      <c r="R153" s="12">
        <f t="shared" si="315"/>
        <v>-14.501654000000144</v>
      </c>
      <c r="S153" s="12">
        <f t="shared" si="315"/>
        <v>-33.772073999999748</v>
      </c>
      <c r="T153" s="12">
        <f t="shared" si="315"/>
        <v>-37.538669000000027</v>
      </c>
      <c r="U153" s="12">
        <f t="shared" si="315"/>
        <v>6.4249700000000303</v>
      </c>
      <c r="V153" s="12">
        <f t="shared" si="315"/>
        <v>-0.30414599999994607</v>
      </c>
      <c r="W153" s="12">
        <f t="shared" si="315"/>
        <v>-20.953254000000015</v>
      </c>
      <c r="X153" s="12">
        <f t="shared" ref="X153:Y153" si="316">X154+X155+X159+X160</f>
        <v>-2.1394970000001194</v>
      </c>
      <c r="Y153" s="12">
        <f t="shared" si="316"/>
        <v>-24.017844</v>
      </c>
      <c r="Z153" s="12">
        <f t="shared" ref="Z153" si="317">Z154+Z155+Z159+Z160</f>
        <v>-1.880358</v>
      </c>
      <c r="AA153" s="12">
        <f t="shared" ref="AA153:AB153" si="318">AA154+AA155+AA159+AA160</f>
        <v>4.0843040000000004</v>
      </c>
      <c r="AB153" s="12">
        <f t="shared" si="318"/>
        <v>14.472860000000001</v>
      </c>
      <c r="AC153" s="26"/>
      <c r="AD153" s="26"/>
    </row>
    <row r="154" spans="1:30" x14ac:dyDescent="0.25">
      <c r="A154" s="17">
        <v>151</v>
      </c>
      <c r="D154" s="7" t="s">
        <v>14</v>
      </c>
      <c r="E154" s="7" t="s">
        <v>23</v>
      </c>
      <c r="F154" s="15">
        <v>0</v>
      </c>
      <c r="G154" s="15">
        <v>0</v>
      </c>
      <c r="H154" s="15">
        <v>0</v>
      </c>
      <c r="I154" s="15">
        <v>0</v>
      </c>
      <c r="J154" s="15">
        <v>0</v>
      </c>
      <c r="K154" s="15">
        <v>0</v>
      </c>
      <c r="L154" s="15">
        <v>0</v>
      </c>
      <c r="M154" s="15">
        <v>0</v>
      </c>
      <c r="N154" s="15">
        <v>0</v>
      </c>
      <c r="O154" s="15">
        <v>0</v>
      </c>
      <c r="P154" s="15">
        <v>0.2</v>
      </c>
      <c r="Q154" s="15">
        <v>0</v>
      </c>
      <c r="R154" s="15">
        <v>0</v>
      </c>
      <c r="S154" s="15">
        <v>0</v>
      </c>
      <c r="T154" s="15">
        <v>0</v>
      </c>
      <c r="U154" s="15">
        <v>0</v>
      </c>
      <c r="V154" s="15">
        <v>0</v>
      </c>
      <c r="W154" s="15">
        <v>0</v>
      </c>
      <c r="X154" s="15">
        <v>0</v>
      </c>
      <c r="Y154" s="15">
        <v>0</v>
      </c>
      <c r="Z154" s="15">
        <v>0</v>
      </c>
      <c r="AA154" s="15">
        <v>0</v>
      </c>
      <c r="AB154" s="15">
        <v>0</v>
      </c>
      <c r="AC154" s="26"/>
      <c r="AD154" s="26"/>
    </row>
    <row r="155" spans="1:30" x14ac:dyDescent="0.25">
      <c r="A155" s="17">
        <v>152</v>
      </c>
      <c r="D155" s="7" t="s">
        <v>15</v>
      </c>
      <c r="E155" s="7" t="s">
        <v>0</v>
      </c>
      <c r="F155" s="14">
        <f t="shared" ref="F155" si="319">SUM(F156:F158)</f>
        <v>0</v>
      </c>
      <c r="G155" s="14">
        <f t="shared" ref="G155:W155" si="320">SUM(G156:G158)</f>
        <v>0</v>
      </c>
      <c r="H155" s="14">
        <f t="shared" si="320"/>
        <v>0</v>
      </c>
      <c r="I155" s="14">
        <f t="shared" si="320"/>
        <v>0</v>
      </c>
      <c r="J155" s="14">
        <f t="shared" si="320"/>
        <v>0</v>
      </c>
      <c r="K155" s="14">
        <f t="shared" si="320"/>
        <v>0</v>
      </c>
      <c r="L155" s="14">
        <f t="shared" si="320"/>
        <v>0</v>
      </c>
      <c r="M155" s="14">
        <f t="shared" si="320"/>
        <v>0</v>
      </c>
      <c r="N155" s="14">
        <f t="shared" si="320"/>
        <v>0</v>
      </c>
      <c r="O155" s="14">
        <f t="shared" si="320"/>
        <v>0</v>
      </c>
      <c r="P155" s="14">
        <f t="shared" si="320"/>
        <v>0</v>
      </c>
      <c r="Q155" s="14">
        <f t="shared" si="320"/>
        <v>0</v>
      </c>
      <c r="R155" s="14">
        <f t="shared" si="320"/>
        <v>0</v>
      </c>
      <c r="S155" s="14">
        <f t="shared" si="320"/>
        <v>0</v>
      </c>
      <c r="T155" s="14">
        <f t="shared" si="320"/>
        <v>0</v>
      </c>
      <c r="U155" s="14">
        <f t="shared" si="320"/>
        <v>0</v>
      </c>
      <c r="V155" s="14">
        <f t="shared" si="320"/>
        <v>0</v>
      </c>
      <c r="W155" s="14">
        <f t="shared" si="320"/>
        <v>0</v>
      </c>
      <c r="X155" s="14">
        <f t="shared" ref="X155:Y155" si="321">SUM(X156:X158)</f>
        <v>0</v>
      </c>
      <c r="Y155" s="14">
        <f t="shared" si="321"/>
        <v>0</v>
      </c>
      <c r="Z155" s="14">
        <f t="shared" ref="Z155" si="322">SUM(Z156:Z158)</f>
        <v>0</v>
      </c>
      <c r="AA155" s="14">
        <f t="shared" ref="AA155:AB155" si="323">SUM(AA156:AA158)</f>
        <v>0</v>
      </c>
      <c r="AB155" s="14">
        <f t="shared" si="323"/>
        <v>0</v>
      </c>
      <c r="AC155" s="26"/>
      <c r="AD155" s="26"/>
    </row>
    <row r="156" spans="1:30" x14ac:dyDescent="0.25">
      <c r="A156" s="17">
        <v>153</v>
      </c>
      <c r="D156" s="8" t="s">
        <v>26</v>
      </c>
      <c r="E156" s="8" t="s">
        <v>25</v>
      </c>
      <c r="F156" s="15">
        <v>0</v>
      </c>
      <c r="G156" s="15">
        <v>0</v>
      </c>
      <c r="H156" s="15">
        <v>0</v>
      </c>
      <c r="I156" s="15">
        <v>0</v>
      </c>
      <c r="J156" s="15">
        <v>0</v>
      </c>
      <c r="K156" s="15">
        <v>0</v>
      </c>
      <c r="L156" s="15">
        <v>0</v>
      </c>
      <c r="M156" s="15">
        <v>0</v>
      </c>
      <c r="N156" s="15">
        <v>0</v>
      </c>
      <c r="O156" s="15">
        <v>0</v>
      </c>
      <c r="P156" s="15">
        <v>0</v>
      </c>
      <c r="Q156" s="15">
        <v>0</v>
      </c>
      <c r="R156" s="15">
        <v>0</v>
      </c>
      <c r="S156" s="15">
        <v>0</v>
      </c>
      <c r="T156" s="15">
        <v>0</v>
      </c>
      <c r="U156" s="15">
        <v>0</v>
      </c>
      <c r="V156" s="15">
        <v>0</v>
      </c>
      <c r="W156" s="15">
        <v>0</v>
      </c>
      <c r="X156" s="15">
        <v>0</v>
      </c>
      <c r="Y156" s="15">
        <v>0</v>
      </c>
      <c r="Z156" s="15">
        <v>0</v>
      </c>
      <c r="AA156" s="15">
        <v>0</v>
      </c>
      <c r="AB156" s="15">
        <v>0</v>
      </c>
      <c r="AC156" s="26"/>
      <c r="AD156" s="26"/>
    </row>
    <row r="157" spans="1:30" x14ac:dyDescent="0.25">
      <c r="A157" s="17">
        <v>154</v>
      </c>
      <c r="D157" s="8" t="s">
        <v>16</v>
      </c>
      <c r="E157" s="8" t="s">
        <v>27</v>
      </c>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26"/>
      <c r="AD157" s="26"/>
    </row>
    <row r="158" spans="1:30" x14ac:dyDescent="0.25">
      <c r="A158" s="17">
        <v>155</v>
      </c>
      <c r="D158" s="8" t="s">
        <v>17</v>
      </c>
      <c r="E158" s="8" t="s">
        <v>28</v>
      </c>
      <c r="F158" s="15">
        <v>0</v>
      </c>
      <c r="G158" s="15">
        <v>0</v>
      </c>
      <c r="H158" s="15">
        <v>0</v>
      </c>
      <c r="I158" s="15">
        <v>0</v>
      </c>
      <c r="J158" s="15">
        <v>0</v>
      </c>
      <c r="K158" s="15">
        <v>0</v>
      </c>
      <c r="L158" s="15">
        <v>0</v>
      </c>
      <c r="M158" s="15">
        <v>0</v>
      </c>
      <c r="N158" s="15">
        <v>0</v>
      </c>
      <c r="O158" s="15">
        <v>0</v>
      </c>
      <c r="P158" s="15">
        <v>0</v>
      </c>
      <c r="Q158" s="15">
        <v>0</v>
      </c>
      <c r="R158" s="15">
        <v>0</v>
      </c>
      <c r="S158" s="15">
        <v>0</v>
      </c>
      <c r="T158" s="15">
        <v>0</v>
      </c>
      <c r="U158" s="15">
        <v>0</v>
      </c>
      <c r="V158" s="15">
        <v>0</v>
      </c>
      <c r="W158" s="15">
        <v>0</v>
      </c>
      <c r="X158" s="15">
        <v>0</v>
      </c>
      <c r="Y158" s="15">
        <v>0</v>
      </c>
      <c r="Z158" s="15">
        <v>0</v>
      </c>
      <c r="AA158" s="15">
        <v>0</v>
      </c>
      <c r="AB158" s="15">
        <v>0</v>
      </c>
      <c r="AC158" s="26"/>
      <c r="AD158" s="26"/>
    </row>
    <row r="159" spans="1:30" x14ac:dyDescent="0.25">
      <c r="A159" s="17">
        <v>156</v>
      </c>
      <c r="D159" s="7" t="s">
        <v>1</v>
      </c>
      <c r="E159" s="7" t="s">
        <v>29</v>
      </c>
      <c r="F159" s="14">
        <v>-0.39323899999988043</v>
      </c>
      <c r="G159" s="14">
        <v>-1.159324000000197</v>
      </c>
      <c r="H159" s="14">
        <v>2.9202200000001994</v>
      </c>
      <c r="I159" s="14">
        <v>18.644733999999971</v>
      </c>
      <c r="J159" s="14">
        <v>6.2044939999998405</v>
      </c>
      <c r="K159" s="14">
        <v>-18.900515999999925</v>
      </c>
      <c r="L159" s="14">
        <v>-5.7987820000000738</v>
      </c>
      <c r="M159" s="14">
        <v>8.9929990000000544</v>
      </c>
      <c r="N159" s="14">
        <v>7.6253169999999955</v>
      </c>
      <c r="O159" s="14">
        <v>-5.7770390000000589</v>
      </c>
      <c r="P159" s="14">
        <v>68.240576000000146</v>
      </c>
      <c r="Q159" s="14">
        <v>55.737956000000075</v>
      </c>
      <c r="R159" s="14">
        <v>-14.501654000000144</v>
      </c>
      <c r="S159" s="14">
        <v>-33.772073999999748</v>
      </c>
      <c r="T159" s="14">
        <v>-37.538669000000027</v>
      </c>
      <c r="U159" s="14">
        <v>6.4249700000000303</v>
      </c>
      <c r="V159" s="14">
        <v>-0.30414599999994607</v>
      </c>
      <c r="W159" s="14">
        <v>-20.953254000000015</v>
      </c>
      <c r="X159" s="14">
        <v>-2.1394970000001194</v>
      </c>
      <c r="Y159" s="14">
        <v>-24.017844</v>
      </c>
      <c r="Z159" s="14">
        <v>-1.880358</v>
      </c>
      <c r="AA159" s="14">
        <v>4.0843040000000004</v>
      </c>
      <c r="AB159" s="14">
        <v>14.472860000000001</v>
      </c>
      <c r="AC159" s="26"/>
      <c r="AD159" s="26"/>
    </row>
    <row r="160" spans="1:30" x14ac:dyDescent="0.25">
      <c r="A160" s="17">
        <v>157</v>
      </c>
      <c r="D160" s="7" t="s">
        <v>30</v>
      </c>
      <c r="E160" s="7" t="s">
        <v>31</v>
      </c>
      <c r="F160" s="14">
        <v>0</v>
      </c>
      <c r="G160" s="14">
        <v>0</v>
      </c>
      <c r="H160" s="14">
        <v>0</v>
      </c>
      <c r="I160" s="14">
        <v>0</v>
      </c>
      <c r="J160" s="14">
        <v>0</v>
      </c>
      <c r="K160" s="14">
        <v>0</v>
      </c>
      <c r="L160" s="14">
        <v>0</v>
      </c>
      <c r="M160" s="14">
        <v>0</v>
      </c>
      <c r="N160" s="14">
        <v>0</v>
      </c>
      <c r="O160" s="14">
        <v>0</v>
      </c>
      <c r="P160" s="14">
        <v>0</v>
      </c>
      <c r="Q160" s="14">
        <v>0</v>
      </c>
      <c r="R160" s="14">
        <v>0</v>
      </c>
      <c r="S160" s="14">
        <v>0</v>
      </c>
      <c r="T160" s="14">
        <v>0</v>
      </c>
      <c r="U160" s="14">
        <v>0</v>
      </c>
      <c r="V160" s="14">
        <v>0</v>
      </c>
      <c r="W160" s="14">
        <v>0</v>
      </c>
      <c r="X160" s="14">
        <v>0</v>
      </c>
      <c r="Y160" s="14">
        <v>0</v>
      </c>
      <c r="Z160" s="14">
        <v>0</v>
      </c>
      <c r="AA160" s="14">
        <v>0</v>
      </c>
      <c r="AB160" s="14">
        <v>0</v>
      </c>
      <c r="AC160" s="26"/>
      <c r="AD160" s="26"/>
    </row>
    <row r="161" spans="1:30" ht="15.75" x14ac:dyDescent="0.25">
      <c r="A161" s="17">
        <v>158</v>
      </c>
      <c r="D161" s="6" t="s">
        <v>19</v>
      </c>
      <c r="E161" s="6" t="s">
        <v>22</v>
      </c>
      <c r="F161" s="12">
        <v>0</v>
      </c>
      <c r="G161" s="12">
        <v>0</v>
      </c>
      <c r="H161" s="12">
        <v>0</v>
      </c>
      <c r="I161" s="12">
        <v>0</v>
      </c>
      <c r="J161" s="12">
        <v>0</v>
      </c>
      <c r="K161" s="12">
        <v>0</v>
      </c>
      <c r="L161" s="12">
        <v>0</v>
      </c>
      <c r="M161" s="12">
        <v>0</v>
      </c>
      <c r="N161" s="12">
        <v>0</v>
      </c>
      <c r="O161" s="12">
        <v>0</v>
      </c>
      <c r="P161" s="12">
        <v>0</v>
      </c>
      <c r="Q161" s="12">
        <v>0</v>
      </c>
      <c r="R161" s="12">
        <v>0</v>
      </c>
      <c r="S161" s="12">
        <v>0</v>
      </c>
      <c r="T161" s="12">
        <v>0</v>
      </c>
      <c r="U161" s="12">
        <v>0</v>
      </c>
      <c r="V161" s="12">
        <v>0</v>
      </c>
      <c r="W161" s="12">
        <v>0</v>
      </c>
      <c r="X161" s="12">
        <v>0</v>
      </c>
      <c r="Y161" s="12">
        <v>0</v>
      </c>
      <c r="Z161" s="12">
        <v>0</v>
      </c>
      <c r="AA161" s="12">
        <v>0</v>
      </c>
      <c r="AB161" s="12">
        <v>1.9461357386657046</v>
      </c>
      <c r="AC161" s="26"/>
      <c r="AD161" s="26"/>
    </row>
    <row r="162" spans="1:30" ht="17.25" customHeight="1" x14ac:dyDescent="0.25">
      <c r="A162" s="17">
        <v>159</v>
      </c>
      <c r="D162" s="9"/>
      <c r="E162" s="9"/>
      <c r="F162" s="11">
        <v>0</v>
      </c>
      <c r="G162" s="11">
        <v>0</v>
      </c>
      <c r="H162" s="11">
        <v>0</v>
      </c>
      <c r="I162" s="11">
        <v>0</v>
      </c>
      <c r="J162" s="11">
        <v>0</v>
      </c>
      <c r="K162" s="11">
        <v>0</v>
      </c>
      <c r="L162" s="11">
        <v>0</v>
      </c>
      <c r="M162" s="11">
        <v>0</v>
      </c>
      <c r="N162" s="11">
        <v>0</v>
      </c>
      <c r="O162" s="11">
        <v>0</v>
      </c>
      <c r="P162" s="11">
        <v>0</v>
      </c>
      <c r="Q162" s="11">
        <v>0</v>
      </c>
      <c r="R162" s="11">
        <v>0</v>
      </c>
      <c r="S162" s="11">
        <v>0</v>
      </c>
      <c r="T162" s="11">
        <v>0</v>
      </c>
      <c r="U162" s="11">
        <v>0</v>
      </c>
      <c r="V162" s="11">
        <v>0</v>
      </c>
      <c r="W162" s="11">
        <v>0</v>
      </c>
      <c r="X162" s="11">
        <v>0</v>
      </c>
      <c r="Y162" s="11">
        <v>0</v>
      </c>
      <c r="Z162" s="11">
        <v>0</v>
      </c>
      <c r="AA162" s="11">
        <v>0</v>
      </c>
      <c r="AB162" s="11">
        <v>0</v>
      </c>
      <c r="AC162" s="26"/>
      <c r="AD162" s="26"/>
    </row>
    <row r="163" spans="1:30" ht="26.1" customHeight="1" x14ac:dyDescent="0.35">
      <c r="A163" s="17">
        <v>160</v>
      </c>
      <c r="B163" s="3"/>
      <c r="C163" s="5" t="s">
        <v>6</v>
      </c>
      <c r="D163" s="5"/>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26"/>
      <c r="AD163" s="26"/>
    </row>
    <row r="164" spans="1:30" ht="18" customHeight="1" x14ac:dyDescent="0.25">
      <c r="A164" s="17">
        <v>161</v>
      </c>
      <c r="D164" s="6" t="s">
        <v>13</v>
      </c>
      <c r="E164" s="6" t="s">
        <v>35</v>
      </c>
      <c r="F164" s="12">
        <f t="shared" ref="F164" si="324">F165+F166+F170+F171</f>
        <v>266.8508498969025</v>
      </c>
      <c r="G164" s="12">
        <f t="shared" ref="G164:W164" si="325">G165+G166+G170+G171</f>
        <v>-321.52253213120667</v>
      </c>
      <c r="H164" s="12">
        <f t="shared" si="325"/>
        <v>210.49524833870106</v>
      </c>
      <c r="I164" s="12">
        <f t="shared" si="325"/>
        <v>-106.22560439896949</v>
      </c>
      <c r="J164" s="12">
        <f t="shared" si="325"/>
        <v>166.28319794981658</v>
      </c>
      <c r="K164" s="12">
        <f t="shared" si="325"/>
        <v>517.80789053753813</v>
      </c>
      <c r="L164" s="12">
        <f t="shared" si="325"/>
        <v>652.26648483916858</v>
      </c>
      <c r="M164" s="12">
        <f t="shared" si="325"/>
        <v>495.58618526966177</v>
      </c>
      <c r="N164" s="12">
        <f t="shared" si="325"/>
        <v>437.13973034984645</v>
      </c>
      <c r="O164" s="12">
        <f t="shared" si="325"/>
        <v>845.10572548284699</v>
      </c>
      <c r="P164" s="12">
        <f t="shared" si="325"/>
        <v>452.28525412019309</v>
      </c>
      <c r="Q164" s="12">
        <f t="shared" si="325"/>
        <v>78.736858239999293</v>
      </c>
      <c r="R164" s="12">
        <f t="shared" si="325"/>
        <v>403.39394494574896</v>
      </c>
      <c r="S164" s="12">
        <f t="shared" si="325"/>
        <v>310.78560199999947</v>
      </c>
      <c r="T164" s="12">
        <f t="shared" si="325"/>
        <v>107.19505726111112</v>
      </c>
      <c r="U164" s="12">
        <f t="shared" si="325"/>
        <v>-121.63797817318564</v>
      </c>
      <c r="V164" s="12">
        <f t="shared" si="325"/>
        <v>-50.914127999999181</v>
      </c>
      <c r="W164" s="12">
        <f t="shared" si="325"/>
        <v>453.02802599999967</v>
      </c>
      <c r="X164" s="12">
        <f t="shared" ref="X164:Y164" si="326">X165+X166+X170+X171</f>
        <v>710.8843380000003</v>
      </c>
      <c r="Y164" s="12">
        <f t="shared" si="326"/>
        <v>560.6550284554603</v>
      </c>
      <c r="Z164" s="12">
        <f t="shared" ref="Z164" si="327">Z165+Z166+Z170+Z171</f>
        <v>157.68555344486776</v>
      </c>
      <c r="AA164" s="12">
        <f t="shared" ref="AA164:AB164" si="328">AA165+AA166+AA170+AA171</f>
        <v>702.31461515820502</v>
      </c>
      <c r="AB164" s="12">
        <f t="shared" si="328"/>
        <v>918.53099034068919</v>
      </c>
      <c r="AC164" s="26"/>
      <c r="AD164" s="26"/>
    </row>
    <row r="165" spans="1:30" x14ac:dyDescent="0.25">
      <c r="A165" s="17">
        <v>162</v>
      </c>
      <c r="D165" s="7" t="s">
        <v>14</v>
      </c>
      <c r="E165" s="7" t="s">
        <v>23</v>
      </c>
      <c r="F165" s="14">
        <v>40.76375445465483</v>
      </c>
      <c r="G165" s="14">
        <v>-47.885399036921498</v>
      </c>
      <c r="H165" s="14">
        <v>43.432067942089716</v>
      </c>
      <c r="I165" s="14">
        <v>92.639966867444258</v>
      </c>
      <c r="J165" s="14">
        <v>13.213262352095001</v>
      </c>
      <c r="K165" s="14">
        <v>116.19398052354327</v>
      </c>
      <c r="L165" s="14">
        <v>-57.925888007796473</v>
      </c>
      <c r="M165" s="14">
        <v>166.49686926938313</v>
      </c>
      <c r="N165" s="14">
        <v>150.59537517450065</v>
      </c>
      <c r="O165" s="14">
        <v>259.72867643538427</v>
      </c>
      <c r="P165" s="14">
        <v>47.911094225215081</v>
      </c>
      <c r="Q165" s="14">
        <v>259.09821299999999</v>
      </c>
      <c r="R165" s="14">
        <v>404.38978538127844</v>
      </c>
      <c r="S165" s="14">
        <v>401.09039700000005</v>
      </c>
      <c r="T165" s="14">
        <v>131.83645533568458</v>
      </c>
      <c r="U165" s="14">
        <v>257.62240045201588</v>
      </c>
      <c r="V165" s="14">
        <v>212.59124000000017</v>
      </c>
      <c r="W165" s="14">
        <v>336.99573700000019</v>
      </c>
      <c r="X165" s="14">
        <v>58.401867999999581</v>
      </c>
      <c r="Y165" s="14">
        <v>288.29732968285595</v>
      </c>
      <c r="Z165" s="14">
        <v>47.448411385629946</v>
      </c>
      <c r="AA165" s="14">
        <v>222.48431810065918</v>
      </c>
      <c r="AB165" s="14">
        <v>85.406554200707376</v>
      </c>
      <c r="AC165" s="26"/>
      <c r="AD165" s="26"/>
    </row>
    <row r="166" spans="1:30" x14ac:dyDescent="0.25">
      <c r="A166" s="17">
        <v>163</v>
      </c>
      <c r="D166" s="7" t="s">
        <v>15</v>
      </c>
      <c r="E166" s="7" t="s">
        <v>0</v>
      </c>
      <c r="F166" s="14">
        <f t="shared" ref="F166" si="329">SUM(F167:F169)</f>
        <v>-5.3827839999999849</v>
      </c>
      <c r="G166" s="14">
        <f t="shared" ref="G166:W166" si="330">SUM(G167:G169)</f>
        <v>-5.2300080000000069</v>
      </c>
      <c r="H166" s="14">
        <f t="shared" si="330"/>
        <v>-1.3634500000000003</v>
      </c>
      <c r="I166" s="14">
        <f t="shared" si="330"/>
        <v>-7.7529609999999956</v>
      </c>
      <c r="J166" s="14">
        <f t="shared" si="330"/>
        <v>-6.4167500000000057</v>
      </c>
      <c r="K166" s="14">
        <f t="shared" si="330"/>
        <v>0.3413560000000011</v>
      </c>
      <c r="L166" s="14">
        <f t="shared" si="330"/>
        <v>13.668343000000002</v>
      </c>
      <c r="M166" s="14">
        <f t="shared" si="330"/>
        <v>-4.5158970000000096</v>
      </c>
      <c r="N166" s="14">
        <f t="shared" si="330"/>
        <v>-1.3359219999999965</v>
      </c>
      <c r="O166" s="14">
        <f t="shared" si="330"/>
        <v>-0.97996799999999595</v>
      </c>
      <c r="P166" s="14">
        <f t="shared" si="330"/>
        <v>-2.2901609999999977</v>
      </c>
      <c r="Q166" s="14">
        <f t="shared" si="330"/>
        <v>-4.864316000000005</v>
      </c>
      <c r="R166" s="14">
        <f t="shared" si="330"/>
        <v>-2.8693569999999986</v>
      </c>
      <c r="S166" s="14">
        <f t="shared" si="330"/>
        <v>1.5471979999999976</v>
      </c>
      <c r="T166" s="14">
        <f t="shared" si="330"/>
        <v>7.3772310000000054</v>
      </c>
      <c r="U166" s="14">
        <f t="shared" si="330"/>
        <v>-10.911304000000003</v>
      </c>
      <c r="V166" s="14">
        <f t="shared" si="330"/>
        <v>-7.1528470000000013</v>
      </c>
      <c r="W166" s="14">
        <f t="shared" si="330"/>
        <v>1.8088740000000019</v>
      </c>
      <c r="X166" s="14">
        <f t="shared" ref="X166:Y166" si="331">SUM(X167:X169)</f>
        <v>-4.7933390000000013</v>
      </c>
      <c r="Y166" s="14">
        <f t="shared" si="331"/>
        <v>2.2655280000000007</v>
      </c>
      <c r="Z166" s="14">
        <f t="shared" ref="Z166" si="332">SUM(Z167:Z169)</f>
        <v>-1.4316310000000025</v>
      </c>
      <c r="AA166" s="14">
        <f t="shared" ref="AA166:AB166" si="333">SUM(AA167:AA169)</f>
        <v>3.5916910000000022</v>
      </c>
      <c r="AB166" s="14">
        <f t="shared" si="333"/>
        <v>12.618219000000003</v>
      </c>
      <c r="AC166" s="26"/>
      <c r="AD166" s="26"/>
    </row>
    <row r="167" spans="1:30" x14ac:dyDescent="0.25">
      <c r="A167" s="17">
        <v>164</v>
      </c>
      <c r="D167" s="8" t="s">
        <v>26</v>
      </c>
      <c r="E167" s="8" t="s">
        <v>25</v>
      </c>
      <c r="F167" s="15">
        <v>-5.3827839999999849</v>
      </c>
      <c r="G167" s="15">
        <v>-5.2300080000000069</v>
      </c>
      <c r="H167" s="15">
        <v>-1.3634500000000003</v>
      </c>
      <c r="I167" s="15">
        <v>-7.7529609999999956</v>
      </c>
      <c r="J167" s="15">
        <v>-6.4167500000000057</v>
      </c>
      <c r="K167" s="15">
        <v>0.3413560000000011</v>
      </c>
      <c r="L167" s="15">
        <v>13.668343000000002</v>
      </c>
      <c r="M167" s="15">
        <v>-4.5158970000000096</v>
      </c>
      <c r="N167" s="15">
        <v>-1.3359219999999965</v>
      </c>
      <c r="O167" s="15">
        <v>-0.97996799999999595</v>
      </c>
      <c r="P167" s="15">
        <v>-2.2901609999999977</v>
      </c>
      <c r="Q167" s="15">
        <v>-4.864316000000005</v>
      </c>
      <c r="R167" s="15">
        <v>-2.8693569999999986</v>
      </c>
      <c r="S167" s="15">
        <v>1.5471979999999976</v>
      </c>
      <c r="T167" s="15">
        <v>7.3772310000000054</v>
      </c>
      <c r="U167" s="15">
        <v>-10.911304000000003</v>
      </c>
      <c r="V167" s="15">
        <v>-7.1528470000000013</v>
      </c>
      <c r="W167" s="15">
        <v>1.8088740000000019</v>
      </c>
      <c r="X167" s="15">
        <v>-4.7933390000000013</v>
      </c>
      <c r="Y167" s="15">
        <v>2.2655280000000007</v>
      </c>
      <c r="Z167" s="15">
        <v>-1.4316310000000025</v>
      </c>
      <c r="AA167" s="15">
        <v>3.5916910000000022</v>
      </c>
      <c r="AB167" s="15">
        <v>12.618219000000003</v>
      </c>
      <c r="AC167" s="26"/>
      <c r="AD167" s="26"/>
    </row>
    <row r="168" spans="1:30" x14ac:dyDescent="0.25">
      <c r="A168" s="17">
        <v>165</v>
      </c>
      <c r="D168" s="8" t="s">
        <v>16</v>
      </c>
      <c r="E168" s="8" t="s">
        <v>27</v>
      </c>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26"/>
      <c r="AD168" s="26"/>
    </row>
    <row r="169" spans="1:30" x14ac:dyDescent="0.25">
      <c r="A169" s="17">
        <v>166</v>
      </c>
      <c r="D169" s="8" t="s">
        <v>17</v>
      </c>
      <c r="E169" s="8" t="s">
        <v>28</v>
      </c>
      <c r="F169" s="15">
        <v>0</v>
      </c>
      <c r="G169" s="15">
        <v>0</v>
      </c>
      <c r="H169" s="15">
        <v>0</v>
      </c>
      <c r="I169" s="15">
        <v>0</v>
      </c>
      <c r="J169" s="15">
        <v>0</v>
      </c>
      <c r="K169" s="15">
        <v>0</v>
      </c>
      <c r="L169" s="15">
        <v>0</v>
      </c>
      <c r="M169" s="15">
        <v>0</v>
      </c>
      <c r="N169" s="15">
        <v>0</v>
      </c>
      <c r="O169" s="15">
        <v>0</v>
      </c>
      <c r="P169" s="15">
        <v>0</v>
      </c>
      <c r="Q169" s="15">
        <v>0</v>
      </c>
      <c r="R169" s="15">
        <v>0</v>
      </c>
      <c r="S169" s="15">
        <v>0</v>
      </c>
      <c r="T169" s="15">
        <v>0</v>
      </c>
      <c r="U169" s="15">
        <v>0</v>
      </c>
      <c r="V169" s="15">
        <v>0</v>
      </c>
      <c r="W169" s="15">
        <v>0</v>
      </c>
      <c r="X169" s="15">
        <v>0</v>
      </c>
      <c r="Y169" s="15">
        <v>0</v>
      </c>
      <c r="Z169" s="15">
        <v>0</v>
      </c>
      <c r="AA169" s="15">
        <v>0</v>
      </c>
      <c r="AB169" s="15">
        <v>0</v>
      </c>
      <c r="AC169" s="26"/>
      <c r="AD169" s="26"/>
    </row>
    <row r="170" spans="1:30" x14ac:dyDescent="0.25">
      <c r="A170" s="17">
        <v>167</v>
      </c>
      <c r="D170" s="7" t="s">
        <v>1</v>
      </c>
      <c r="E170" s="7" t="s">
        <v>29</v>
      </c>
      <c r="F170" s="14">
        <v>0</v>
      </c>
      <c r="G170" s="14">
        <v>0</v>
      </c>
      <c r="H170" s="14">
        <v>0</v>
      </c>
      <c r="I170" s="14">
        <v>0</v>
      </c>
      <c r="J170" s="14">
        <v>0</v>
      </c>
      <c r="K170" s="14">
        <v>0</v>
      </c>
      <c r="L170" s="14">
        <v>0</v>
      </c>
      <c r="M170" s="14">
        <v>0</v>
      </c>
      <c r="N170" s="14">
        <v>0</v>
      </c>
      <c r="O170" s="14">
        <v>0</v>
      </c>
      <c r="P170" s="14">
        <v>2.4994999999999998</v>
      </c>
      <c r="Q170" s="14">
        <v>-2.4994999999999998</v>
      </c>
      <c r="R170" s="14">
        <v>2.0487000000000002E-2</v>
      </c>
      <c r="S170" s="14">
        <v>-2.0273000000000003E-2</v>
      </c>
      <c r="T170" s="14">
        <v>-2.14E-4</v>
      </c>
      <c r="U170" s="14">
        <v>0</v>
      </c>
      <c r="V170" s="14">
        <v>0</v>
      </c>
      <c r="W170" s="14">
        <v>0</v>
      </c>
      <c r="X170" s="14">
        <v>0</v>
      </c>
      <c r="Y170" s="14">
        <v>0</v>
      </c>
      <c r="Z170" s="14">
        <v>0</v>
      </c>
      <c r="AA170" s="14">
        <v>0</v>
      </c>
      <c r="AB170" s="14">
        <v>0</v>
      </c>
      <c r="AC170" s="26"/>
      <c r="AD170" s="26"/>
    </row>
    <row r="171" spans="1:30" x14ac:dyDescent="0.25">
      <c r="A171" s="17">
        <v>168</v>
      </c>
      <c r="D171" s="7" t="s">
        <v>30</v>
      </c>
      <c r="E171" s="7" t="s">
        <v>31</v>
      </c>
      <c r="F171" s="14">
        <v>231.46987944224765</v>
      </c>
      <c r="G171" s="14">
        <v>-268.40712509428516</v>
      </c>
      <c r="H171" s="14">
        <v>168.42663039661136</v>
      </c>
      <c r="I171" s="14">
        <v>-191.11261026641375</v>
      </c>
      <c r="J171" s="14">
        <v>159.48668559772159</v>
      </c>
      <c r="K171" s="14">
        <v>401.27255401399486</v>
      </c>
      <c r="L171" s="14">
        <v>696.52402984696505</v>
      </c>
      <c r="M171" s="14">
        <v>333.60521300027864</v>
      </c>
      <c r="N171" s="14">
        <v>287.88027717534578</v>
      </c>
      <c r="O171" s="14">
        <v>586.3570170474627</v>
      </c>
      <c r="P171" s="14">
        <v>404.16482089497799</v>
      </c>
      <c r="Q171" s="14">
        <v>-172.99753876000068</v>
      </c>
      <c r="R171" s="14">
        <v>1.8530295644704893</v>
      </c>
      <c r="S171" s="14">
        <v>-91.831720000000587</v>
      </c>
      <c r="T171" s="14">
        <v>-32.018415074573454</v>
      </c>
      <c r="U171" s="14">
        <v>-368.34907462520152</v>
      </c>
      <c r="V171" s="14">
        <v>-256.35252099999934</v>
      </c>
      <c r="W171" s="14">
        <v>114.22341499999948</v>
      </c>
      <c r="X171" s="14">
        <v>657.27580900000066</v>
      </c>
      <c r="Y171" s="14">
        <v>270.09217077260428</v>
      </c>
      <c r="Z171" s="14">
        <v>111.66877305923781</v>
      </c>
      <c r="AA171" s="14">
        <v>476.23860605754589</v>
      </c>
      <c r="AB171" s="14">
        <v>820.5062171399818</v>
      </c>
      <c r="AC171" s="26"/>
      <c r="AD171" s="26"/>
    </row>
    <row r="172" spans="1:30" ht="15.75" x14ac:dyDescent="0.25">
      <c r="A172" s="17">
        <v>169</v>
      </c>
      <c r="D172" s="6" t="s">
        <v>19</v>
      </c>
      <c r="E172" s="6" t="s">
        <v>22</v>
      </c>
      <c r="F172" s="12">
        <v>7.2999259468233024</v>
      </c>
      <c r="G172" s="12">
        <v>2.0108545525294224</v>
      </c>
      <c r="H172" s="12">
        <v>0.37976087650409185</v>
      </c>
      <c r="I172" s="12">
        <v>0.7948197110323465</v>
      </c>
      <c r="J172" s="12">
        <v>-0.13930315117243319</v>
      </c>
      <c r="K172" s="12">
        <v>0.56595505672797231</v>
      </c>
      <c r="L172" s="12">
        <v>9.4550707093192354E-2</v>
      </c>
      <c r="M172" s="12">
        <v>-1.0934676831334311</v>
      </c>
      <c r="N172" s="12">
        <v>-1.5143780151503892</v>
      </c>
      <c r="O172" s="12">
        <v>8.4449315526313153</v>
      </c>
      <c r="P172" s="12">
        <v>-0.65151959709673068</v>
      </c>
      <c r="Q172" s="12">
        <v>-5.7968630000000019</v>
      </c>
      <c r="R172" s="12">
        <v>-21.290372825221706</v>
      </c>
      <c r="S172" s="12">
        <v>-3.7824999999999998E-2</v>
      </c>
      <c r="T172" s="12">
        <v>-2.0089791734588795E-2</v>
      </c>
      <c r="U172" s="12">
        <v>0.18862998320995433</v>
      </c>
      <c r="V172" s="12">
        <v>-0.20999500000000004</v>
      </c>
      <c r="W172" s="12">
        <v>28.905518000000001</v>
      </c>
      <c r="X172" s="12">
        <v>10.788689000000002</v>
      </c>
      <c r="Y172" s="12">
        <v>2.5230962451256524</v>
      </c>
      <c r="Z172" s="12">
        <v>1.0707644811577781</v>
      </c>
      <c r="AA172" s="12">
        <v>0.28740781277920491</v>
      </c>
      <c r="AB172" s="12">
        <v>-3.9432795778745136</v>
      </c>
      <c r="AC172" s="26"/>
      <c r="AD172" s="26"/>
    </row>
    <row r="173" spans="1:30" ht="9" customHeight="1" x14ac:dyDescent="0.25">
      <c r="A173" s="17">
        <v>170</v>
      </c>
      <c r="D173" s="9"/>
      <c r="E173" s="9"/>
      <c r="F173" s="11">
        <v>0</v>
      </c>
      <c r="G173" s="11">
        <v>0</v>
      </c>
      <c r="H173" s="11">
        <v>0</v>
      </c>
      <c r="I173" s="11">
        <v>0</v>
      </c>
      <c r="J173" s="11">
        <v>0</v>
      </c>
      <c r="K173" s="11">
        <v>0</v>
      </c>
      <c r="L173" s="11">
        <v>0</v>
      </c>
      <c r="M173" s="11">
        <v>0</v>
      </c>
      <c r="N173" s="11">
        <v>0</v>
      </c>
      <c r="O173" s="11">
        <v>0</v>
      </c>
      <c r="P173" s="11">
        <v>0</v>
      </c>
      <c r="Q173" s="11">
        <v>0</v>
      </c>
      <c r="R173" s="11">
        <v>0</v>
      </c>
      <c r="S173" s="11">
        <v>0</v>
      </c>
      <c r="T173" s="11">
        <v>0</v>
      </c>
      <c r="U173" s="11">
        <v>0</v>
      </c>
      <c r="V173" s="11">
        <v>0</v>
      </c>
      <c r="W173" s="11">
        <v>0</v>
      </c>
      <c r="X173" s="11">
        <v>0</v>
      </c>
      <c r="Y173" s="11">
        <v>0</v>
      </c>
      <c r="Z173" s="11">
        <v>0</v>
      </c>
      <c r="AA173" s="11">
        <v>0</v>
      </c>
      <c r="AB173" s="11">
        <v>0</v>
      </c>
      <c r="AC173" s="26"/>
      <c r="AD173" s="26"/>
    </row>
    <row r="174" spans="1:30" ht="26.1" customHeight="1" x14ac:dyDescent="0.35">
      <c r="A174" s="17">
        <v>171</v>
      </c>
      <c r="B174" s="3"/>
      <c r="C174" s="5" t="s">
        <v>24</v>
      </c>
      <c r="D174" s="5"/>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26"/>
      <c r="AD174" s="26"/>
    </row>
    <row r="175" spans="1:30" ht="18" customHeight="1" x14ac:dyDescent="0.25">
      <c r="A175" s="17">
        <v>172</v>
      </c>
      <c r="D175" s="6" t="s">
        <v>13</v>
      </c>
      <c r="E175" s="6" t="s">
        <v>35</v>
      </c>
      <c r="F175" s="12">
        <f t="shared" ref="F175" si="334">F176+F177+F181+F182</f>
        <v>-7.6404629436691351E-2</v>
      </c>
      <c r="G175" s="12">
        <f t="shared" ref="G175:W175" si="335">G176+G177+G181+G182</f>
        <v>-2.4831843372046869</v>
      </c>
      <c r="H175" s="12">
        <f t="shared" si="335"/>
        <v>-1.5051521891224695</v>
      </c>
      <c r="I175" s="12">
        <f t="shared" si="335"/>
        <v>-7.0747373804780747</v>
      </c>
      <c r="J175" s="12">
        <f t="shared" si="335"/>
        <v>-0.18811225021181599</v>
      </c>
      <c r="K175" s="12">
        <f t="shared" si="335"/>
        <v>1.80128731511377</v>
      </c>
      <c r="L175" s="12">
        <f t="shared" si="335"/>
        <v>4.5759174051297578</v>
      </c>
      <c r="M175" s="12">
        <f t="shared" si="335"/>
        <v>2.814473109149862</v>
      </c>
      <c r="N175" s="12">
        <f t="shared" si="335"/>
        <v>9.1639617860698017</v>
      </c>
      <c r="O175" s="12">
        <f t="shared" si="335"/>
        <v>6.2507260850463133</v>
      </c>
      <c r="P175" s="12">
        <f t="shared" si="335"/>
        <v>1.4354200308901923</v>
      </c>
      <c r="Q175" s="12">
        <f t="shared" si="335"/>
        <v>-1.7847069319411843</v>
      </c>
      <c r="R175" s="12">
        <f t="shared" si="335"/>
        <v>7.2379718676900637</v>
      </c>
      <c r="S175" s="12">
        <f t="shared" si="335"/>
        <v>-5.2245315573773521</v>
      </c>
      <c r="T175" s="12">
        <f t="shared" si="335"/>
        <v>2.3289096168603836</v>
      </c>
      <c r="U175" s="12">
        <f t="shared" si="335"/>
        <v>-13.233586273065546</v>
      </c>
      <c r="V175" s="12">
        <f t="shared" si="335"/>
        <v>3.4400679840497315</v>
      </c>
      <c r="W175" s="12">
        <f t="shared" si="335"/>
        <v>-1.9754953370602464</v>
      </c>
      <c r="X175" s="12">
        <f t="shared" ref="X175:Y175" si="336">X176+X177+X181+X182</f>
        <v>-4.0894663507845941</v>
      </c>
      <c r="Y175" s="12">
        <f t="shared" si="336"/>
        <v>-2.4652737916970082</v>
      </c>
      <c r="Z175" s="12">
        <f t="shared" ref="Z175" si="337">Z176+Z177+Z181+Z182</f>
        <v>38.906012293694126</v>
      </c>
      <c r="AA175" s="12">
        <f t="shared" ref="AA175:AB175" si="338">AA176+AA177+AA181+AA182</f>
        <v>-3.1009290276164663</v>
      </c>
      <c r="AB175" s="12">
        <f t="shared" si="338"/>
        <v>-1.0948943500999686</v>
      </c>
      <c r="AC175" s="26"/>
      <c r="AD175" s="26"/>
    </row>
    <row r="176" spans="1:30" x14ac:dyDescent="0.25">
      <c r="A176" s="17">
        <v>173</v>
      </c>
      <c r="D176" s="7" t="s">
        <v>14</v>
      </c>
      <c r="E176" s="7" t="s">
        <v>23</v>
      </c>
      <c r="F176" s="15">
        <v>-7.6404629436691351E-2</v>
      </c>
      <c r="G176" s="15">
        <v>-2.4831843372046869</v>
      </c>
      <c r="H176" s="15">
        <v>-1.5051521891224695</v>
      </c>
      <c r="I176" s="15">
        <v>-7.0747373804780747</v>
      </c>
      <c r="J176" s="15">
        <v>-0.18811225021181599</v>
      </c>
      <c r="K176" s="15">
        <v>1.80128731511377</v>
      </c>
      <c r="L176" s="15">
        <v>4.5759174051297578</v>
      </c>
      <c r="M176" s="15">
        <v>2.814473109149862</v>
      </c>
      <c r="N176" s="15">
        <v>9.1639617860698017</v>
      </c>
      <c r="O176" s="15">
        <v>6.2507260850463133</v>
      </c>
      <c r="P176" s="15">
        <v>1.4354200308901923</v>
      </c>
      <c r="Q176" s="15">
        <v>-3.0847069319411844</v>
      </c>
      <c r="R176" s="15">
        <v>7.2379718676900637</v>
      </c>
      <c r="S176" s="15">
        <v>-4.8703495573773523</v>
      </c>
      <c r="T176" s="15">
        <v>-2.654300383139617</v>
      </c>
      <c r="U176" s="15">
        <v>-7.3710912730655451</v>
      </c>
      <c r="V176" s="15">
        <v>2.5063679840497315</v>
      </c>
      <c r="W176" s="15">
        <v>-1.9596953370602463</v>
      </c>
      <c r="X176" s="15">
        <v>-2.6963663507845936</v>
      </c>
      <c r="Y176" s="15">
        <v>-2.4652737916970082</v>
      </c>
      <c r="Z176" s="15">
        <v>-0.42876770630587657</v>
      </c>
      <c r="AA176" s="15">
        <v>-3.1009290276164663</v>
      </c>
      <c r="AB176" s="15">
        <v>-1.0948943500999686</v>
      </c>
      <c r="AC176" s="26"/>
      <c r="AD176" s="26"/>
    </row>
    <row r="177" spans="1:30" x14ac:dyDescent="0.25">
      <c r="A177" s="17">
        <v>174</v>
      </c>
      <c r="D177" s="7" t="s">
        <v>15</v>
      </c>
      <c r="E177" s="7" t="s">
        <v>0</v>
      </c>
      <c r="F177" s="14">
        <f t="shared" ref="F177" si="339">SUM(F178:F180)</f>
        <v>0</v>
      </c>
      <c r="G177" s="14">
        <f t="shared" ref="G177:W177" si="340">SUM(G178:G180)</f>
        <v>0</v>
      </c>
      <c r="H177" s="14">
        <f t="shared" si="340"/>
        <v>0</v>
      </c>
      <c r="I177" s="14">
        <f t="shared" si="340"/>
        <v>0</v>
      </c>
      <c r="J177" s="14">
        <f t="shared" si="340"/>
        <v>0</v>
      </c>
      <c r="K177" s="14">
        <f t="shared" si="340"/>
        <v>0</v>
      </c>
      <c r="L177" s="14">
        <f t="shared" si="340"/>
        <v>0</v>
      </c>
      <c r="M177" s="14">
        <f t="shared" si="340"/>
        <v>0</v>
      </c>
      <c r="N177" s="14">
        <f t="shared" si="340"/>
        <v>0</v>
      </c>
      <c r="O177" s="14">
        <f t="shared" si="340"/>
        <v>0</v>
      </c>
      <c r="P177" s="14">
        <f t="shared" si="340"/>
        <v>0</v>
      </c>
      <c r="Q177" s="14">
        <f t="shared" si="340"/>
        <v>1.3</v>
      </c>
      <c r="R177" s="14">
        <f t="shared" si="340"/>
        <v>0</v>
      </c>
      <c r="S177" s="14">
        <f t="shared" si="340"/>
        <v>-0.354182</v>
      </c>
      <c r="T177" s="14">
        <f t="shared" si="340"/>
        <v>4.9832100000000006</v>
      </c>
      <c r="U177" s="14">
        <f t="shared" si="340"/>
        <v>-5.8624950000000009</v>
      </c>
      <c r="V177" s="14">
        <f t="shared" si="340"/>
        <v>0.93369999999999997</v>
      </c>
      <c r="W177" s="14">
        <f t="shared" si="340"/>
        <v>-1.5800000000000036E-2</v>
      </c>
      <c r="X177" s="14">
        <f t="shared" ref="X177:Y177" si="341">SUM(X178:X180)</f>
        <v>-1.3931</v>
      </c>
      <c r="Y177" s="14">
        <f t="shared" si="341"/>
        <v>0</v>
      </c>
      <c r="Z177" s="14">
        <f t="shared" ref="Z177" si="342">SUM(Z178:Z180)</f>
        <v>39.334780000000002</v>
      </c>
      <c r="AA177" s="14">
        <f t="shared" ref="AA177:AB177" si="343">SUM(AA178:AA180)</f>
        <v>0</v>
      </c>
      <c r="AB177" s="14">
        <f t="shared" si="343"/>
        <v>0</v>
      </c>
      <c r="AC177" s="26"/>
      <c r="AD177" s="26"/>
    </row>
    <row r="178" spans="1:30" x14ac:dyDescent="0.25">
      <c r="A178" s="17">
        <v>175</v>
      </c>
      <c r="D178" s="8" t="s">
        <v>26</v>
      </c>
      <c r="E178" s="8" t="s">
        <v>25</v>
      </c>
      <c r="F178" s="15">
        <v>0</v>
      </c>
      <c r="G178" s="15">
        <v>0</v>
      </c>
      <c r="H178" s="15">
        <v>0</v>
      </c>
      <c r="I178" s="15">
        <v>0</v>
      </c>
      <c r="J178" s="15">
        <v>0</v>
      </c>
      <c r="K178" s="15">
        <v>0</v>
      </c>
      <c r="L178" s="15">
        <v>0</v>
      </c>
      <c r="M178" s="15">
        <v>0</v>
      </c>
      <c r="N178" s="15">
        <v>0</v>
      </c>
      <c r="O178" s="15">
        <v>0</v>
      </c>
      <c r="P178" s="15">
        <v>0</v>
      </c>
      <c r="Q178" s="15">
        <v>1.3</v>
      </c>
      <c r="R178" s="15">
        <v>0</v>
      </c>
      <c r="S178" s="15">
        <v>-0.354182</v>
      </c>
      <c r="T178" s="15">
        <v>4.9832100000000006</v>
      </c>
      <c r="U178" s="15">
        <v>-5.8624950000000009</v>
      </c>
      <c r="V178" s="15">
        <v>0.93369999999999997</v>
      </c>
      <c r="W178" s="15">
        <v>-1.5800000000000036E-2</v>
      </c>
      <c r="X178" s="15">
        <v>-1.3931</v>
      </c>
      <c r="Y178" s="15">
        <v>0</v>
      </c>
      <c r="Z178" s="15">
        <v>39.334780000000002</v>
      </c>
      <c r="AA178" s="15">
        <v>0</v>
      </c>
      <c r="AB178" s="15">
        <v>0</v>
      </c>
      <c r="AC178" s="26"/>
      <c r="AD178" s="26"/>
    </row>
    <row r="179" spans="1:30" x14ac:dyDescent="0.25">
      <c r="A179" s="17">
        <v>176</v>
      </c>
      <c r="D179" s="8" t="s">
        <v>16</v>
      </c>
      <c r="E179" s="8" t="s">
        <v>27</v>
      </c>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26"/>
      <c r="AD179" s="26"/>
    </row>
    <row r="180" spans="1:30" x14ac:dyDescent="0.25">
      <c r="A180" s="17">
        <v>177</v>
      </c>
      <c r="D180" s="8" t="s">
        <v>17</v>
      </c>
      <c r="E180" s="8" t="s">
        <v>28</v>
      </c>
      <c r="F180" s="15">
        <v>0</v>
      </c>
      <c r="G180" s="15">
        <v>0</v>
      </c>
      <c r="H180" s="15">
        <v>0</v>
      </c>
      <c r="I180" s="15">
        <v>0</v>
      </c>
      <c r="J180" s="15">
        <v>0</v>
      </c>
      <c r="K180" s="15">
        <v>0</v>
      </c>
      <c r="L180" s="15">
        <v>0</v>
      </c>
      <c r="M180" s="15">
        <v>0</v>
      </c>
      <c r="N180" s="15">
        <v>0</v>
      </c>
      <c r="O180" s="15">
        <v>0</v>
      </c>
      <c r="P180" s="15">
        <v>0</v>
      </c>
      <c r="Q180" s="15">
        <v>0</v>
      </c>
      <c r="R180" s="15">
        <v>0</v>
      </c>
      <c r="S180" s="15">
        <v>0</v>
      </c>
      <c r="T180" s="15">
        <v>0</v>
      </c>
      <c r="U180" s="15">
        <v>0</v>
      </c>
      <c r="V180" s="15">
        <v>0</v>
      </c>
      <c r="W180" s="15">
        <v>0</v>
      </c>
      <c r="X180" s="15">
        <v>0</v>
      </c>
      <c r="Y180" s="15">
        <v>0</v>
      </c>
      <c r="Z180" s="15">
        <v>0</v>
      </c>
      <c r="AA180" s="15">
        <v>0</v>
      </c>
      <c r="AB180" s="15">
        <v>0</v>
      </c>
      <c r="AC180" s="26"/>
      <c r="AD180" s="26"/>
    </row>
    <row r="181" spans="1:30" x14ac:dyDescent="0.25">
      <c r="A181" s="17">
        <v>178</v>
      </c>
      <c r="D181" s="7" t="s">
        <v>1</v>
      </c>
      <c r="E181" s="7" t="s">
        <v>29</v>
      </c>
      <c r="F181" s="14">
        <v>0</v>
      </c>
      <c r="G181" s="14">
        <v>0</v>
      </c>
      <c r="H181" s="14">
        <v>0</v>
      </c>
      <c r="I181" s="14">
        <v>0</v>
      </c>
      <c r="J181" s="14">
        <v>0</v>
      </c>
      <c r="K181" s="14">
        <v>0</v>
      </c>
      <c r="L181" s="14">
        <v>0</v>
      </c>
      <c r="M181" s="14">
        <v>0</v>
      </c>
      <c r="N181" s="14">
        <v>0</v>
      </c>
      <c r="O181" s="14">
        <v>0</v>
      </c>
      <c r="P181" s="14">
        <v>0</v>
      </c>
      <c r="Q181" s="14">
        <v>0</v>
      </c>
      <c r="R181" s="14">
        <v>0</v>
      </c>
      <c r="S181" s="14">
        <v>0</v>
      </c>
      <c r="T181" s="14">
        <v>0</v>
      </c>
      <c r="U181" s="14">
        <v>0</v>
      </c>
      <c r="V181" s="14">
        <v>0</v>
      </c>
      <c r="W181" s="14">
        <v>0</v>
      </c>
      <c r="X181" s="14">
        <v>0</v>
      </c>
      <c r="Y181" s="14">
        <v>0</v>
      </c>
      <c r="Z181" s="14">
        <v>0</v>
      </c>
      <c r="AA181" s="14">
        <v>0</v>
      </c>
      <c r="AB181" s="14">
        <v>0</v>
      </c>
      <c r="AC181" s="26"/>
      <c r="AD181" s="26"/>
    </row>
    <row r="182" spans="1:30" x14ac:dyDescent="0.25">
      <c r="A182" s="17">
        <v>179</v>
      </c>
      <c r="D182" s="7" t="s">
        <v>30</v>
      </c>
      <c r="E182" s="7" t="s">
        <v>31</v>
      </c>
      <c r="F182" s="14">
        <v>0</v>
      </c>
      <c r="G182" s="14">
        <v>0</v>
      </c>
      <c r="H182" s="14">
        <v>0</v>
      </c>
      <c r="I182" s="14">
        <v>0</v>
      </c>
      <c r="J182" s="14">
        <v>0</v>
      </c>
      <c r="K182" s="14">
        <v>0</v>
      </c>
      <c r="L182" s="14">
        <v>0</v>
      </c>
      <c r="M182" s="14">
        <v>0</v>
      </c>
      <c r="N182" s="14">
        <v>0</v>
      </c>
      <c r="O182" s="14">
        <v>0</v>
      </c>
      <c r="P182" s="14">
        <v>0</v>
      </c>
      <c r="Q182" s="14">
        <v>0</v>
      </c>
      <c r="R182" s="14">
        <v>0</v>
      </c>
      <c r="S182" s="14">
        <v>0</v>
      </c>
      <c r="T182" s="14">
        <v>0</v>
      </c>
      <c r="U182" s="14">
        <v>0</v>
      </c>
      <c r="V182" s="14">
        <v>0</v>
      </c>
      <c r="W182" s="14">
        <v>0</v>
      </c>
      <c r="X182" s="14">
        <v>0</v>
      </c>
      <c r="Y182" s="14">
        <v>0</v>
      </c>
      <c r="Z182" s="14">
        <v>0</v>
      </c>
      <c r="AA182" s="14">
        <v>0</v>
      </c>
      <c r="AB182" s="14">
        <v>0</v>
      </c>
      <c r="AC182" s="26"/>
      <c r="AD182" s="26"/>
    </row>
    <row r="183" spans="1:30" ht="15.75" x14ac:dyDescent="0.25">
      <c r="A183" s="17">
        <v>180</v>
      </c>
      <c r="D183" s="6" t="s">
        <v>19</v>
      </c>
      <c r="E183" s="6" t="s">
        <v>22</v>
      </c>
      <c r="F183" s="12">
        <v>-1.1882162218282595E-4</v>
      </c>
      <c r="G183" s="12">
        <v>2.2823393852259427E-4</v>
      </c>
      <c r="H183" s="12">
        <v>3.9843528380647392E-4</v>
      </c>
      <c r="I183" s="12">
        <v>5.0365094200022394E-4</v>
      </c>
      <c r="J183" s="12">
        <v>-4.3124472899404818E-4</v>
      </c>
      <c r="K183" s="12">
        <v>-7.729576231129294E-2</v>
      </c>
      <c r="L183" s="12">
        <v>0</v>
      </c>
      <c r="M183" s="12">
        <v>0</v>
      </c>
      <c r="N183" s="12">
        <v>0</v>
      </c>
      <c r="O183" s="12">
        <v>0</v>
      </c>
      <c r="P183" s="12">
        <v>0</v>
      </c>
      <c r="Q183" s="12">
        <v>6.1137599999999992</v>
      </c>
      <c r="R183" s="12">
        <v>3.5690137513922577</v>
      </c>
      <c r="S183" s="12">
        <v>2.7887000000006879E-2</v>
      </c>
      <c r="T183" s="12">
        <v>5.734361593378539</v>
      </c>
      <c r="U183" s="12">
        <v>2.7275715234217568</v>
      </c>
      <c r="V183" s="12">
        <v>-8.8630549999999886</v>
      </c>
      <c r="W183" s="12">
        <v>8.7044039999999967</v>
      </c>
      <c r="X183" s="12">
        <v>0.24334299999999187</v>
      </c>
      <c r="Y183" s="12">
        <v>3.8577883767365164</v>
      </c>
      <c r="Z183" s="12">
        <v>3.4331317293054416E-4</v>
      </c>
      <c r="AA183" s="12">
        <v>9.9373231077037058E-4</v>
      </c>
      <c r="AB183" s="12">
        <v>1.0196689724086173E-4</v>
      </c>
      <c r="AC183" s="26"/>
      <c r="AD183" s="26"/>
    </row>
    <row r="184" spans="1:30" ht="9" customHeight="1" x14ac:dyDescent="0.25">
      <c r="A184" s="17">
        <v>181</v>
      </c>
      <c r="D184" s="9"/>
      <c r="E184" s="9"/>
      <c r="F184" s="11">
        <v>0</v>
      </c>
      <c r="G184" s="11">
        <v>0</v>
      </c>
      <c r="H184" s="11">
        <v>0</v>
      </c>
      <c r="I184" s="11">
        <v>0</v>
      </c>
      <c r="J184" s="11">
        <v>0</v>
      </c>
      <c r="K184" s="11">
        <v>0</v>
      </c>
      <c r="L184" s="11">
        <v>0</v>
      </c>
      <c r="M184" s="11">
        <v>0</v>
      </c>
      <c r="N184" s="11">
        <v>0</v>
      </c>
      <c r="O184" s="11">
        <v>0</v>
      </c>
      <c r="P184" s="11">
        <v>0</v>
      </c>
      <c r="Q184" s="11">
        <v>0</v>
      </c>
      <c r="R184" s="11">
        <v>0</v>
      </c>
      <c r="S184" s="11">
        <v>0</v>
      </c>
      <c r="T184" s="11">
        <v>0</v>
      </c>
      <c r="U184" s="11">
        <v>0</v>
      </c>
      <c r="V184" s="11">
        <v>0</v>
      </c>
      <c r="W184" s="11">
        <v>0</v>
      </c>
      <c r="X184" s="11">
        <v>0</v>
      </c>
      <c r="Y184" s="11">
        <v>0</v>
      </c>
      <c r="Z184" s="11">
        <v>0</v>
      </c>
      <c r="AA184" s="11">
        <v>0</v>
      </c>
      <c r="AB184" s="11">
        <v>0</v>
      </c>
      <c r="AC184" s="26"/>
      <c r="AD184" s="26"/>
    </row>
    <row r="185" spans="1:30" ht="35.1" customHeight="1" x14ac:dyDescent="0.35">
      <c r="A185" s="17">
        <v>182</v>
      </c>
      <c r="B185" s="10" t="s">
        <v>60</v>
      </c>
      <c r="C185" s="3"/>
      <c r="D185" s="3"/>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26"/>
      <c r="AD185" s="26"/>
    </row>
    <row r="186" spans="1:30" ht="26.1" customHeight="1" x14ac:dyDescent="0.35">
      <c r="A186" s="17">
        <v>183</v>
      </c>
      <c r="B186" s="3"/>
      <c r="C186" s="5" t="s">
        <v>10</v>
      </c>
      <c r="D186" s="5"/>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26"/>
      <c r="AD186" s="26"/>
    </row>
    <row r="187" spans="1:30" ht="18" customHeight="1" x14ac:dyDescent="0.25">
      <c r="A187" s="17">
        <v>184</v>
      </c>
      <c r="D187" s="6" t="s">
        <v>13</v>
      </c>
      <c r="E187" s="6" t="s">
        <v>35</v>
      </c>
      <c r="F187" s="12">
        <f>F188+F189+F193+F194</f>
        <v>-28.464663004640101</v>
      </c>
      <c r="G187" s="12">
        <f t="shared" ref="G187:W187" si="344">G188+G189+G193+G194</f>
        <v>29.716044602087173</v>
      </c>
      <c r="H187" s="12">
        <f t="shared" si="344"/>
        <v>8.6370566716219805</v>
      </c>
      <c r="I187" s="12">
        <f t="shared" si="344"/>
        <v>-38.225483634874465</v>
      </c>
      <c r="J187" s="12">
        <f t="shared" si="344"/>
        <v>-23.901483464564041</v>
      </c>
      <c r="K187" s="12">
        <f t="shared" si="344"/>
        <v>5.9270645692675004</v>
      </c>
      <c r="L187" s="12">
        <f t="shared" si="344"/>
        <v>41.119029491331183</v>
      </c>
      <c r="M187" s="12">
        <f t="shared" si="344"/>
        <v>0.69589880382957148</v>
      </c>
      <c r="N187" s="12">
        <f t="shared" si="344"/>
        <v>-17.323160351579009</v>
      </c>
      <c r="O187" s="12">
        <f t="shared" si="344"/>
        <v>-53.595296246120967</v>
      </c>
      <c r="P187" s="12">
        <f t="shared" si="344"/>
        <v>31.790441766382184</v>
      </c>
      <c r="Q187" s="12">
        <f t="shared" si="344"/>
        <v>-75.113204838029446</v>
      </c>
      <c r="R187" s="12">
        <f t="shared" si="344"/>
        <v>-3.8057169699817379</v>
      </c>
      <c r="S187" s="12">
        <f t="shared" si="344"/>
        <v>53.7022771619705</v>
      </c>
      <c r="T187" s="12">
        <f t="shared" si="344"/>
        <v>45.777715957223819</v>
      </c>
      <c r="U187" s="12">
        <f t="shared" si="344"/>
        <v>24.454312585679759</v>
      </c>
      <c r="V187" s="12">
        <f t="shared" si="344"/>
        <v>-22.990023111825813</v>
      </c>
      <c r="W187" s="12">
        <f t="shared" si="344"/>
        <v>-58.912265229990936</v>
      </c>
      <c r="X187" s="12">
        <f t="shared" ref="X187:Y187" si="345">X188+X189+X193+X194</f>
        <v>64.331042149918758</v>
      </c>
      <c r="Y187" s="12">
        <f t="shared" si="345"/>
        <v>-25.414809913390968</v>
      </c>
      <c r="Z187" s="12">
        <f t="shared" ref="Z187" si="346">Z188+Z189+Z193+Z194</f>
        <v>4.8776032352960286</v>
      </c>
      <c r="AA187" s="12">
        <f t="shared" ref="AA187:AB187" si="347">AA188+AA189+AA193+AA194</f>
        <v>29.023254936230554</v>
      </c>
      <c r="AB187" s="12">
        <f t="shared" si="347"/>
        <v>-7.3103729875892824</v>
      </c>
      <c r="AC187" s="26"/>
      <c r="AD187" s="26"/>
    </row>
    <row r="188" spans="1:30" x14ac:dyDescent="0.25">
      <c r="A188" s="17">
        <v>185</v>
      </c>
      <c r="D188" s="7" t="s">
        <v>14</v>
      </c>
      <c r="E188" s="7" t="s">
        <v>23</v>
      </c>
      <c r="F188" s="14">
        <v>0</v>
      </c>
      <c r="G188" s="14">
        <v>0</v>
      </c>
      <c r="H188" s="14">
        <v>0</v>
      </c>
      <c r="I188" s="14">
        <v>0</v>
      </c>
      <c r="J188" s="14">
        <v>0</v>
      </c>
      <c r="K188" s="14">
        <v>0</v>
      </c>
      <c r="L188" s="14">
        <v>0</v>
      </c>
      <c r="M188" s="14">
        <v>0</v>
      </c>
      <c r="N188" s="14">
        <v>0</v>
      </c>
      <c r="O188" s="14">
        <v>0</v>
      </c>
      <c r="P188" s="14">
        <v>0</v>
      </c>
      <c r="Q188" s="14">
        <v>0</v>
      </c>
      <c r="R188" s="14">
        <v>0</v>
      </c>
      <c r="S188" s="14">
        <v>0</v>
      </c>
      <c r="T188" s="14">
        <v>0</v>
      </c>
      <c r="U188" s="14">
        <v>0</v>
      </c>
      <c r="V188" s="14">
        <v>0</v>
      </c>
      <c r="W188" s="14">
        <v>0</v>
      </c>
      <c r="X188" s="14">
        <v>0</v>
      </c>
      <c r="Y188" s="14">
        <v>0</v>
      </c>
      <c r="Z188" s="14">
        <v>0</v>
      </c>
      <c r="AA188" s="14">
        <v>0</v>
      </c>
      <c r="AB188" s="14">
        <v>0</v>
      </c>
      <c r="AC188" s="26"/>
      <c r="AD188" s="26"/>
    </row>
    <row r="189" spans="1:30" x14ac:dyDescent="0.25">
      <c r="A189" s="17">
        <v>186</v>
      </c>
      <c r="D189" s="7" t="s">
        <v>15</v>
      </c>
      <c r="E189" s="7" t="s">
        <v>0</v>
      </c>
      <c r="F189" s="14">
        <f>SUM(F190:F192)</f>
        <v>-28.464663004640101</v>
      </c>
      <c r="G189" s="14">
        <f t="shared" ref="G189:W189" si="348">SUM(G190:G192)</f>
        <v>29.716044602087173</v>
      </c>
      <c r="H189" s="14">
        <f t="shared" si="348"/>
        <v>8.6370566716219805</v>
      </c>
      <c r="I189" s="14">
        <f t="shared" si="348"/>
        <v>-38.225483634874465</v>
      </c>
      <c r="J189" s="14">
        <f t="shared" si="348"/>
        <v>-23.901483464564041</v>
      </c>
      <c r="K189" s="14">
        <f t="shared" si="348"/>
        <v>5.9270645692675004</v>
      </c>
      <c r="L189" s="14">
        <f t="shared" si="348"/>
        <v>41.119029491331183</v>
      </c>
      <c r="M189" s="14">
        <f t="shared" si="348"/>
        <v>0.69589880382957148</v>
      </c>
      <c r="N189" s="14">
        <f t="shared" si="348"/>
        <v>-17.323160351579009</v>
      </c>
      <c r="O189" s="14">
        <f t="shared" si="348"/>
        <v>-53.595296246120967</v>
      </c>
      <c r="P189" s="14">
        <f t="shared" si="348"/>
        <v>31.790441766382184</v>
      </c>
      <c r="Q189" s="14">
        <f t="shared" si="348"/>
        <v>-75.113204838029446</v>
      </c>
      <c r="R189" s="14">
        <f t="shared" si="348"/>
        <v>-3.8057169699817379</v>
      </c>
      <c r="S189" s="14">
        <f t="shared" si="348"/>
        <v>53.7022771619705</v>
      </c>
      <c r="T189" s="14">
        <f t="shared" si="348"/>
        <v>45.777715957223819</v>
      </c>
      <c r="U189" s="14">
        <f t="shared" si="348"/>
        <v>24.454312585679759</v>
      </c>
      <c r="V189" s="14">
        <f t="shared" si="348"/>
        <v>-22.990023111825813</v>
      </c>
      <c r="W189" s="14">
        <f t="shared" si="348"/>
        <v>-58.912265229990936</v>
      </c>
      <c r="X189" s="14">
        <f t="shared" ref="X189:Y189" si="349">SUM(X190:X192)</f>
        <v>64.331042149918758</v>
      </c>
      <c r="Y189" s="14">
        <f t="shared" si="349"/>
        <v>-25.414809913390968</v>
      </c>
      <c r="Z189" s="14">
        <f t="shared" ref="Z189" si="350">SUM(Z190:Z192)</f>
        <v>4.8776032352960286</v>
      </c>
      <c r="AA189" s="14">
        <f t="shared" ref="AA189:AB189" si="351">SUM(AA190:AA192)</f>
        <v>29.023254936230554</v>
      </c>
      <c r="AB189" s="14">
        <f t="shared" si="351"/>
        <v>-7.3103729875892824</v>
      </c>
      <c r="AC189" s="26"/>
      <c r="AD189" s="26"/>
    </row>
    <row r="190" spans="1:30" x14ac:dyDescent="0.25">
      <c r="A190" s="17">
        <v>187</v>
      </c>
      <c r="D190" s="8" t="s">
        <v>26</v>
      </c>
      <c r="E190" s="8" t="s">
        <v>25</v>
      </c>
      <c r="F190" s="15">
        <v>-28.464663004640101</v>
      </c>
      <c r="G190" s="15">
        <v>29.716044602087173</v>
      </c>
      <c r="H190" s="15">
        <v>8.6370566716219805</v>
      </c>
      <c r="I190" s="15">
        <v>-38.225483634874465</v>
      </c>
      <c r="J190" s="15">
        <v>-23.901483464564041</v>
      </c>
      <c r="K190" s="15">
        <v>5.9270645692675004</v>
      </c>
      <c r="L190" s="15">
        <v>41.119029491331183</v>
      </c>
      <c r="M190" s="15">
        <v>0.69589880382957148</v>
      </c>
      <c r="N190" s="15">
        <v>-17.323160351579009</v>
      </c>
      <c r="O190" s="15">
        <v>-53.595296246120967</v>
      </c>
      <c r="P190" s="15">
        <v>31.790441766382184</v>
      </c>
      <c r="Q190" s="15">
        <v>-75.113204838029446</v>
      </c>
      <c r="R190" s="15">
        <v>-3.8057169699817379</v>
      </c>
      <c r="S190" s="15">
        <v>53.7022771619705</v>
      </c>
      <c r="T190" s="15">
        <v>45.777715957223819</v>
      </c>
      <c r="U190" s="15">
        <v>24.454312585679759</v>
      </c>
      <c r="V190" s="15">
        <v>-22.990023111825813</v>
      </c>
      <c r="W190" s="15">
        <v>-58.912265229990936</v>
      </c>
      <c r="X190" s="15">
        <v>64.331042149918758</v>
      </c>
      <c r="Y190" s="15">
        <v>-25.414809913390968</v>
      </c>
      <c r="Z190" s="15">
        <v>4.8776032352960286</v>
      </c>
      <c r="AA190" s="15">
        <v>29.023254936230554</v>
      </c>
      <c r="AB190" s="15">
        <v>-7.3103729875892824</v>
      </c>
      <c r="AC190" s="26"/>
      <c r="AD190" s="26"/>
    </row>
    <row r="191" spans="1:30" x14ac:dyDescent="0.25">
      <c r="A191" s="17">
        <v>188</v>
      </c>
      <c r="D191" s="8" t="s">
        <v>16</v>
      </c>
      <c r="E191" s="8" t="s">
        <v>27</v>
      </c>
      <c r="F191" s="15">
        <v>0</v>
      </c>
      <c r="G191" s="15">
        <v>0</v>
      </c>
      <c r="H191" s="15">
        <v>0</v>
      </c>
      <c r="I191" s="15">
        <v>0</v>
      </c>
      <c r="J191" s="15">
        <v>0</v>
      </c>
      <c r="K191" s="15">
        <v>0</v>
      </c>
      <c r="L191" s="15">
        <v>0</v>
      </c>
      <c r="M191" s="15">
        <v>0</v>
      </c>
      <c r="N191" s="15">
        <v>0</v>
      </c>
      <c r="O191" s="15">
        <v>0</v>
      </c>
      <c r="P191" s="15">
        <v>0</v>
      </c>
      <c r="Q191" s="15">
        <v>0</v>
      </c>
      <c r="R191" s="15">
        <v>0</v>
      </c>
      <c r="S191" s="15">
        <v>0</v>
      </c>
      <c r="T191" s="15">
        <v>0</v>
      </c>
      <c r="U191" s="15">
        <v>0</v>
      </c>
      <c r="V191" s="15">
        <v>0</v>
      </c>
      <c r="W191" s="15">
        <v>0</v>
      </c>
      <c r="X191" s="15">
        <v>0</v>
      </c>
      <c r="Y191" s="15">
        <v>0</v>
      </c>
      <c r="Z191" s="15">
        <v>0</v>
      </c>
      <c r="AA191" s="15">
        <v>0</v>
      </c>
      <c r="AB191" s="15">
        <v>0</v>
      </c>
      <c r="AC191" s="26"/>
      <c r="AD191" s="26"/>
    </row>
    <row r="192" spans="1:30" x14ac:dyDescent="0.25">
      <c r="A192" s="17">
        <v>189</v>
      </c>
      <c r="D192" s="8" t="s">
        <v>17</v>
      </c>
      <c r="E192" s="8" t="s">
        <v>28</v>
      </c>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26"/>
      <c r="AD192" s="26"/>
    </row>
    <row r="193" spans="1:30" x14ac:dyDescent="0.25">
      <c r="A193" s="17">
        <v>190</v>
      </c>
      <c r="D193" s="7" t="s">
        <v>18</v>
      </c>
      <c r="E193" s="7" t="s">
        <v>29</v>
      </c>
      <c r="F193" s="15">
        <v>0</v>
      </c>
      <c r="G193" s="15">
        <v>0</v>
      </c>
      <c r="H193" s="15">
        <v>0</v>
      </c>
      <c r="I193" s="15">
        <v>0</v>
      </c>
      <c r="J193" s="15">
        <v>0</v>
      </c>
      <c r="K193" s="15">
        <v>0</v>
      </c>
      <c r="L193" s="15">
        <v>0</v>
      </c>
      <c r="M193" s="15">
        <v>0</v>
      </c>
      <c r="N193" s="15">
        <v>0</v>
      </c>
      <c r="O193" s="15">
        <v>0</v>
      </c>
      <c r="P193" s="15">
        <v>0</v>
      </c>
      <c r="Q193" s="15">
        <v>0</v>
      </c>
      <c r="R193" s="15">
        <v>0</v>
      </c>
      <c r="S193" s="15">
        <v>0</v>
      </c>
      <c r="T193" s="15">
        <v>0</v>
      </c>
      <c r="U193" s="15">
        <v>0</v>
      </c>
      <c r="V193" s="15">
        <v>0</v>
      </c>
      <c r="W193" s="15">
        <v>0</v>
      </c>
      <c r="X193" s="15">
        <v>0</v>
      </c>
      <c r="Y193" s="15">
        <v>0</v>
      </c>
      <c r="Z193" s="15">
        <v>0</v>
      </c>
      <c r="AA193" s="15">
        <v>0</v>
      </c>
      <c r="AB193" s="15">
        <v>0</v>
      </c>
      <c r="AC193" s="26"/>
      <c r="AD193" s="26"/>
    </row>
    <row r="194" spans="1:30" x14ac:dyDescent="0.25">
      <c r="A194" s="17">
        <v>191</v>
      </c>
      <c r="D194" s="7" t="s">
        <v>30</v>
      </c>
      <c r="E194" s="7" t="s">
        <v>31</v>
      </c>
      <c r="F194" s="15">
        <v>0</v>
      </c>
      <c r="G194" s="15">
        <v>0</v>
      </c>
      <c r="H194" s="15">
        <v>0</v>
      </c>
      <c r="I194" s="15">
        <v>0</v>
      </c>
      <c r="J194" s="15">
        <v>0</v>
      </c>
      <c r="K194" s="15">
        <v>0</v>
      </c>
      <c r="L194" s="15">
        <v>0</v>
      </c>
      <c r="M194" s="15">
        <v>0</v>
      </c>
      <c r="N194" s="15">
        <v>0</v>
      </c>
      <c r="O194" s="15">
        <v>0</v>
      </c>
      <c r="P194" s="15">
        <v>0</v>
      </c>
      <c r="Q194" s="15">
        <v>0</v>
      </c>
      <c r="R194" s="15">
        <v>0</v>
      </c>
      <c r="S194" s="15">
        <v>0</v>
      </c>
      <c r="T194" s="15">
        <v>0</v>
      </c>
      <c r="U194" s="15">
        <v>0</v>
      </c>
      <c r="V194" s="15">
        <v>0</v>
      </c>
      <c r="W194" s="15">
        <v>0</v>
      </c>
      <c r="X194" s="15">
        <v>0</v>
      </c>
      <c r="Y194" s="15">
        <v>0</v>
      </c>
      <c r="Z194" s="15">
        <v>0</v>
      </c>
      <c r="AA194" s="15">
        <v>0</v>
      </c>
      <c r="AB194" s="15">
        <v>0</v>
      </c>
      <c r="AC194" s="26"/>
      <c r="AD194" s="26"/>
    </row>
    <row r="195" spans="1:30" ht="15.75" x14ac:dyDescent="0.25">
      <c r="A195" s="17">
        <v>192</v>
      </c>
      <c r="D195" s="6" t="s">
        <v>19</v>
      </c>
      <c r="E195" s="6" t="s">
        <v>22</v>
      </c>
      <c r="F195" s="12">
        <v>0.54382241572833823</v>
      </c>
      <c r="G195" s="12">
        <v>-0.49553795577913062</v>
      </c>
      <c r="H195" s="12">
        <v>4.8794321868635054E-2</v>
      </c>
      <c r="I195" s="12">
        <v>-0.43863878979207299</v>
      </c>
      <c r="J195" s="12">
        <v>0.11287526714287149</v>
      </c>
      <c r="K195" s="12">
        <v>1.3404008450307286E-2</v>
      </c>
      <c r="L195" s="12">
        <v>-1.7423648446875745E-2</v>
      </c>
      <c r="M195" s="12">
        <v>-7.1623229884551776E-3</v>
      </c>
      <c r="N195" s="12">
        <v>1.0028215829025555</v>
      </c>
      <c r="O195" s="12">
        <v>0.44268880632643165</v>
      </c>
      <c r="P195" s="12">
        <v>-3.6331287410788926</v>
      </c>
      <c r="Q195" s="12">
        <v>-0.6292786449877813</v>
      </c>
      <c r="R195" s="12">
        <v>-0.18821249868917489</v>
      </c>
      <c r="S195" s="12">
        <v>-6.4713604987781309E-2</v>
      </c>
      <c r="T195" s="12">
        <v>-0.13401826537091216</v>
      </c>
      <c r="U195" s="12">
        <v>1.8346308805626158E-2</v>
      </c>
      <c r="V195" s="12">
        <v>0.75803344792999661</v>
      </c>
      <c r="W195" s="12">
        <v>-1.046392780757055</v>
      </c>
      <c r="X195" s="12">
        <v>0.19312773542499861</v>
      </c>
      <c r="Y195" s="12">
        <v>-0.19479092963695641</v>
      </c>
      <c r="Z195" s="12">
        <v>0.69587669766744076</v>
      </c>
      <c r="AA195" s="12">
        <v>-0.62462832866122397</v>
      </c>
      <c r="AB195" s="12">
        <v>0.28524452348736612</v>
      </c>
      <c r="AC195" s="26"/>
      <c r="AD195" s="26"/>
    </row>
    <row r="196" spans="1:30" ht="9" customHeight="1" x14ac:dyDescent="0.25">
      <c r="A196" s="17">
        <v>193</v>
      </c>
      <c r="D196" s="9"/>
      <c r="E196" s="9"/>
      <c r="F196" s="11">
        <v>0</v>
      </c>
      <c r="G196" s="11">
        <v>0</v>
      </c>
      <c r="H196" s="11">
        <v>0</v>
      </c>
      <c r="I196" s="11">
        <v>0</v>
      </c>
      <c r="J196" s="11">
        <v>0</v>
      </c>
      <c r="K196" s="11">
        <v>0</v>
      </c>
      <c r="L196" s="11">
        <v>0</v>
      </c>
      <c r="M196" s="11">
        <v>0</v>
      </c>
      <c r="N196" s="11">
        <v>0</v>
      </c>
      <c r="O196" s="11">
        <v>0</v>
      </c>
      <c r="P196" s="11">
        <v>0</v>
      </c>
      <c r="Q196" s="11">
        <v>0</v>
      </c>
      <c r="R196" s="11">
        <v>0</v>
      </c>
      <c r="S196" s="11">
        <v>0</v>
      </c>
      <c r="T196" s="11">
        <v>0</v>
      </c>
      <c r="U196" s="11">
        <v>0</v>
      </c>
      <c r="V196" s="11">
        <v>0</v>
      </c>
      <c r="W196" s="11">
        <v>0</v>
      </c>
      <c r="X196" s="11">
        <v>0</v>
      </c>
      <c r="Y196" s="11">
        <v>0</v>
      </c>
      <c r="Z196" s="11">
        <v>0</v>
      </c>
      <c r="AA196" s="11">
        <v>0</v>
      </c>
      <c r="AB196" s="11">
        <v>0</v>
      </c>
      <c r="AC196" s="26"/>
      <c r="AD196" s="26"/>
    </row>
    <row r="197" spans="1:30" ht="26.1" customHeight="1" x14ac:dyDescent="0.35">
      <c r="A197" s="17">
        <v>194</v>
      </c>
      <c r="B197" s="3"/>
      <c r="C197" s="5" t="s">
        <v>11</v>
      </c>
      <c r="D197" s="5"/>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26"/>
      <c r="AD197" s="26"/>
    </row>
    <row r="198" spans="1:30" ht="18" customHeight="1" x14ac:dyDescent="0.25">
      <c r="A198" s="17">
        <v>195</v>
      </c>
      <c r="D198" s="6" t="s">
        <v>13</v>
      </c>
      <c r="E198" s="6" t="s">
        <v>35</v>
      </c>
      <c r="F198" s="12">
        <f t="shared" ref="F198" si="352">F199+F200+F204+F205</f>
        <v>66.491405089999972</v>
      </c>
      <c r="G198" s="12">
        <f t="shared" ref="G198:W198" si="353">G199+G200+G204+G205</f>
        <v>1.5155600699999618</v>
      </c>
      <c r="H198" s="12">
        <f t="shared" si="353"/>
        <v>25.004101270000071</v>
      </c>
      <c r="I198" s="12">
        <f t="shared" si="353"/>
        <v>82.92219283999998</v>
      </c>
      <c r="J198" s="12">
        <f t="shared" si="353"/>
        <v>77.911250940000173</v>
      </c>
      <c r="K198" s="12">
        <f t="shared" si="353"/>
        <v>43.446144789999835</v>
      </c>
      <c r="L198" s="12">
        <f t="shared" si="353"/>
        <v>70.906855980000046</v>
      </c>
      <c r="M198" s="12">
        <f t="shared" si="353"/>
        <v>76.683793250000008</v>
      </c>
      <c r="N198" s="12">
        <f t="shared" si="353"/>
        <v>54.868953149999925</v>
      </c>
      <c r="O198" s="12">
        <f t="shared" si="353"/>
        <v>105.63061773000004</v>
      </c>
      <c r="P198" s="12">
        <f t="shared" si="353"/>
        <v>125.72685941999998</v>
      </c>
      <c r="Q198" s="12">
        <f t="shared" si="353"/>
        <v>197.43401090999987</v>
      </c>
      <c r="R198" s="12">
        <f t="shared" si="353"/>
        <v>84.640758300000016</v>
      </c>
      <c r="S198" s="12">
        <f t="shared" si="353"/>
        <v>59.06372843000031</v>
      </c>
      <c r="T198" s="12">
        <f t="shared" si="353"/>
        <v>161.28736832999994</v>
      </c>
      <c r="U198" s="12">
        <f t="shared" si="353"/>
        <v>119.84075580000035</v>
      </c>
      <c r="V198" s="12">
        <f t="shared" si="353"/>
        <v>88.410680443579167</v>
      </c>
      <c r="W198" s="12">
        <f t="shared" si="353"/>
        <v>94.599569536419949</v>
      </c>
      <c r="X198" s="12">
        <f t="shared" ref="X198:Y198" si="354">X199+X200+X204+X205</f>
        <v>100.09905672960895</v>
      </c>
      <c r="Y198" s="12">
        <f t="shared" si="354"/>
        <v>89.99168015615669</v>
      </c>
      <c r="Z198" s="12">
        <f t="shared" ref="Z198" si="355">Z199+Z200+Z204+Z205</f>
        <v>71.735773239970058</v>
      </c>
      <c r="AA198" s="12">
        <f t="shared" ref="AA198:AB198" si="356">AA199+AA200+AA204+AA205</f>
        <v>14.187223373080997</v>
      </c>
      <c r="AB198" s="12">
        <f t="shared" si="356"/>
        <v>190.05506715352931</v>
      </c>
      <c r="AC198" s="26"/>
      <c r="AD198" s="26"/>
    </row>
    <row r="199" spans="1:30" x14ac:dyDescent="0.25">
      <c r="A199" s="17">
        <v>196</v>
      </c>
      <c r="D199" s="7" t="s">
        <v>14</v>
      </c>
      <c r="E199" s="7" t="s">
        <v>23</v>
      </c>
      <c r="F199" s="15">
        <v>0.89396000000000075</v>
      </c>
      <c r="G199" s="15">
        <v>0</v>
      </c>
      <c r="H199" s="15">
        <v>-6.2839600000000004</v>
      </c>
      <c r="I199" s="15">
        <v>0</v>
      </c>
      <c r="J199" s="15">
        <v>0</v>
      </c>
      <c r="K199" s="15">
        <v>0</v>
      </c>
      <c r="L199" s="15">
        <v>0</v>
      </c>
      <c r="M199" s="15">
        <v>0</v>
      </c>
      <c r="N199" s="15">
        <v>0</v>
      </c>
      <c r="O199" s="15">
        <v>0</v>
      </c>
      <c r="P199" s="15">
        <v>0</v>
      </c>
      <c r="Q199" s="15">
        <v>0</v>
      </c>
      <c r="R199" s="15">
        <v>0</v>
      </c>
      <c r="S199" s="15">
        <v>0</v>
      </c>
      <c r="T199" s="15">
        <v>0</v>
      </c>
      <c r="U199" s="15">
        <v>0</v>
      </c>
      <c r="V199" s="15">
        <v>0</v>
      </c>
      <c r="W199" s="15">
        <v>0</v>
      </c>
      <c r="X199" s="15">
        <v>0</v>
      </c>
      <c r="Y199" s="15">
        <v>0</v>
      </c>
      <c r="Z199" s="15">
        <v>0</v>
      </c>
      <c r="AA199" s="15">
        <v>0</v>
      </c>
      <c r="AB199" s="15">
        <v>0</v>
      </c>
      <c r="AC199" s="26"/>
      <c r="AD199" s="26"/>
    </row>
    <row r="200" spans="1:30" x14ac:dyDescent="0.25">
      <c r="A200" s="17">
        <v>197</v>
      </c>
      <c r="D200" s="7" t="s">
        <v>15</v>
      </c>
      <c r="E200" s="7" t="s">
        <v>0</v>
      </c>
      <c r="F200" s="14">
        <f t="shared" ref="F200" si="357">SUM(F201:F203)</f>
        <v>0</v>
      </c>
      <c r="G200" s="14">
        <f t="shared" ref="G200:W200" si="358">SUM(G201:G203)</f>
        <v>0</v>
      </c>
      <c r="H200" s="14">
        <f t="shared" si="358"/>
        <v>0</v>
      </c>
      <c r="I200" s="14">
        <f t="shared" si="358"/>
        <v>0</v>
      </c>
      <c r="J200" s="14">
        <f t="shared" si="358"/>
        <v>0</v>
      </c>
      <c r="K200" s="14">
        <f t="shared" si="358"/>
        <v>0</v>
      </c>
      <c r="L200" s="14">
        <f t="shared" si="358"/>
        <v>0</v>
      </c>
      <c r="M200" s="14">
        <f t="shared" si="358"/>
        <v>0</v>
      </c>
      <c r="N200" s="14">
        <f t="shared" si="358"/>
        <v>0</v>
      </c>
      <c r="O200" s="14">
        <f t="shared" si="358"/>
        <v>0</v>
      </c>
      <c r="P200" s="14">
        <f t="shared" si="358"/>
        <v>0</v>
      </c>
      <c r="Q200" s="14">
        <f t="shared" si="358"/>
        <v>0</v>
      </c>
      <c r="R200" s="14">
        <f t="shared" si="358"/>
        <v>0</v>
      </c>
      <c r="S200" s="14">
        <f t="shared" si="358"/>
        <v>0</v>
      </c>
      <c r="T200" s="14">
        <f t="shared" si="358"/>
        <v>0</v>
      </c>
      <c r="U200" s="14">
        <f t="shared" si="358"/>
        <v>0</v>
      </c>
      <c r="V200" s="14">
        <f t="shared" si="358"/>
        <v>0</v>
      </c>
      <c r="W200" s="14">
        <f t="shared" si="358"/>
        <v>0</v>
      </c>
      <c r="X200" s="14">
        <f t="shared" ref="X200:Y200" si="359">SUM(X201:X203)</f>
        <v>0</v>
      </c>
      <c r="Y200" s="14">
        <f t="shared" si="359"/>
        <v>0</v>
      </c>
      <c r="Z200" s="14">
        <f t="shared" ref="Z200" si="360">SUM(Z201:Z203)</f>
        <v>0</v>
      </c>
      <c r="AA200" s="14">
        <f t="shared" ref="AA200:AB200" si="361">SUM(AA201:AA203)</f>
        <v>0</v>
      </c>
      <c r="AB200" s="14">
        <f t="shared" si="361"/>
        <v>0</v>
      </c>
      <c r="AC200" s="26"/>
      <c r="AD200" s="26"/>
    </row>
    <row r="201" spans="1:30" x14ac:dyDescent="0.25">
      <c r="A201" s="17">
        <v>198</v>
      </c>
      <c r="D201" s="8" t="s">
        <v>26</v>
      </c>
      <c r="E201" s="8" t="s">
        <v>25</v>
      </c>
      <c r="F201" s="15">
        <v>0</v>
      </c>
      <c r="G201" s="15">
        <v>0</v>
      </c>
      <c r="H201" s="15">
        <v>0</v>
      </c>
      <c r="I201" s="15">
        <v>0</v>
      </c>
      <c r="J201" s="15">
        <v>0</v>
      </c>
      <c r="K201" s="15">
        <v>0</v>
      </c>
      <c r="L201" s="15">
        <v>0</v>
      </c>
      <c r="M201" s="15">
        <v>0</v>
      </c>
      <c r="N201" s="15">
        <v>0</v>
      </c>
      <c r="O201" s="15">
        <v>0</v>
      </c>
      <c r="P201" s="15">
        <v>0</v>
      </c>
      <c r="Q201" s="15">
        <v>0</v>
      </c>
      <c r="R201" s="15">
        <v>0</v>
      </c>
      <c r="S201" s="15">
        <v>0</v>
      </c>
      <c r="T201" s="15">
        <v>0</v>
      </c>
      <c r="U201" s="15">
        <v>0</v>
      </c>
      <c r="V201" s="15">
        <v>0</v>
      </c>
      <c r="W201" s="15">
        <v>0</v>
      </c>
      <c r="X201" s="15">
        <v>0</v>
      </c>
      <c r="Y201" s="15">
        <v>0</v>
      </c>
      <c r="Z201" s="15">
        <v>0</v>
      </c>
      <c r="AA201" s="15">
        <v>0</v>
      </c>
      <c r="AB201" s="15">
        <v>0</v>
      </c>
      <c r="AC201" s="26"/>
      <c r="AD201" s="26"/>
    </row>
    <row r="202" spans="1:30" x14ac:dyDescent="0.25">
      <c r="A202" s="17">
        <v>199</v>
      </c>
      <c r="D202" s="8" t="s">
        <v>16</v>
      </c>
      <c r="E202" s="8" t="s">
        <v>27</v>
      </c>
      <c r="F202" s="15">
        <v>0</v>
      </c>
      <c r="G202" s="15">
        <v>0</v>
      </c>
      <c r="H202" s="15">
        <v>0</v>
      </c>
      <c r="I202" s="15">
        <v>0</v>
      </c>
      <c r="J202" s="15">
        <v>0</v>
      </c>
      <c r="K202" s="15">
        <v>0</v>
      </c>
      <c r="L202" s="15">
        <v>0</v>
      </c>
      <c r="M202" s="15">
        <v>0</v>
      </c>
      <c r="N202" s="15">
        <v>0</v>
      </c>
      <c r="O202" s="15">
        <v>0</v>
      </c>
      <c r="P202" s="15">
        <v>0</v>
      </c>
      <c r="Q202" s="15">
        <v>0</v>
      </c>
      <c r="R202" s="15">
        <v>0</v>
      </c>
      <c r="S202" s="15">
        <v>0</v>
      </c>
      <c r="T202" s="15">
        <v>0</v>
      </c>
      <c r="U202" s="15">
        <v>0</v>
      </c>
      <c r="V202" s="15">
        <v>0</v>
      </c>
      <c r="W202" s="15">
        <v>0</v>
      </c>
      <c r="X202" s="15">
        <v>0</v>
      </c>
      <c r="Y202" s="15">
        <v>0</v>
      </c>
      <c r="Z202" s="15">
        <v>0</v>
      </c>
      <c r="AA202" s="15">
        <v>0</v>
      </c>
      <c r="AB202" s="15">
        <v>0</v>
      </c>
      <c r="AC202" s="26"/>
      <c r="AD202" s="26"/>
    </row>
    <row r="203" spans="1:30" x14ac:dyDescent="0.25">
      <c r="A203" s="17">
        <v>200</v>
      </c>
      <c r="D203" s="8" t="s">
        <v>17</v>
      </c>
      <c r="E203" s="8" t="s">
        <v>28</v>
      </c>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26"/>
      <c r="AD203" s="26"/>
    </row>
    <row r="204" spans="1:30" x14ac:dyDescent="0.25">
      <c r="A204" s="17">
        <v>201</v>
      </c>
      <c r="D204" s="7" t="s">
        <v>1</v>
      </c>
      <c r="E204" s="7" t="s">
        <v>29</v>
      </c>
      <c r="F204" s="14">
        <v>65.597445089999965</v>
      </c>
      <c r="G204" s="14">
        <v>1.5155600699999618</v>
      </c>
      <c r="H204" s="14">
        <v>31.288061270000071</v>
      </c>
      <c r="I204" s="14">
        <v>82.92219283999998</v>
      </c>
      <c r="J204" s="14">
        <v>77.911250940000173</v>
      </c>
      <c r="K204" s="14">
        <v>43.446144789999835</v>
      </c>
      <c r="L204" s="14">
        <v>70.906855980000046</v>
      </c>
      <c r="M204" s="14">
        <v>76.683793250000008</v>
      </c>
      <c r="N204" s="14">
        <v>54.868953149999925</v>
      </c>
      <c r="O204" s="14">
        <v>105.63061773000004</v>
      </c>
      <c r="P204" s="14">
        <v>125.72685941999998</v>
      </c>
      <c r="Q204" s="14">
        <v>197.43401090999987</v>
      </c>
      <c r="R204" s="14">
        <v>84.640758300000016</v>
      </c>
      <c r="S204" s="14">
        <v>59.06372843000031</v>
      </c>
      <c r="T204" s="14">
        <v>161.28736832999994</v>
      </c>
      <c r="U204" s="14">
        <v>119.84075580000035</v>
      </c>
      <c r="V204" s="14">
        <v>88.410680443579167</v>
      </c>
      <c r="W204" s="14">
        <v>94.599569536419949</v>
      </c>
      <c r="X204" s="14">
        <v>100.09905672960895</v>
      </c>
      <c r="Y204" s="14">
        <v>89.99168015615669</v>
      </c>
      <c r="Z204" s="14">
        <v>71.735773239970058</v>
      </c>
      <c r="AA204" s="14">
        <v>14.187223373080997</v>
      </c>
      <c r="AB204" s="14">
        <v>190.05506715352931</v>
      </c>
      <c r="AC204" s="26"/>
      <c r="AD204" s="26"/>
    </row>
    <row r="205" spans="1:30" x14ac:dyDescent="0.25">
      <c r="A205" s="17">
        <v>202</v>
      </c>
      <c r="D205" s="7" t="s">
        <v>30</v>
      </c>
      <c r="E205" s="7" t="s">
        <v>31</v>
      </c>
      <c r="F205" s="14">
        <v>0</v>
      </c>
      <c r="G205" s="14">
        <v>0</v>
      </c>
      <c r="H205" s="14">
        <v>0</v>
      </c>
      <c r="I205" s="14">
        <v>0</v>
      </c>
      <c r="J205" s="14">
        <v>0</v>
      </c>
      <c r="K205" s="14">
        <v>0</v>
      </c>
      <c r="L205" s="14">
        <v>0</v>
      </c>
      <c r="M205" s="14">
        <v>0</v>
      </c>
      <c r="N205" s="14">
        <v>0</v>
      </c>
      <c r="O205" s="14">
        <v>0</v>
      </c>
      <c r="P205" s="14">
        <v>0</v>
      </c>
      <c r="Q205" s="14">
        <v>0</v>
      </c>
      <c r="R205" s="14">
        <v>0</v>
      </c>
      <c r="S205" s="14">
        <v>0</v>
      </c>
      <c r="T205" s="14">
        <v>0</v>
      </c>
      <c r="U205" s="14">
        <v>0</v>
      </c>
      <c r="V205" s="14">
        <v>0</v>
      </c>
      <c r="W205" s="14">
        <v>0</v>
      </c>
      <c r="X205" s="14">
        <v>0</v>
      </c>
      <c r="Y205" s="14">
        <v>0</v>
      </c>
      <c r="Z205" s="14">
        <v>0</v>
      </c>
      <c r="AA205" s="14">
        <v>0</v>
      </c>
      <c r="AB205" s="14">
        <v>0</v>
      </c>
      <c r="AC205" s="26"/>
      <c r="AD205" s="26"/>
    </row>
    <row r="206" spans="1:30" ht="15.75" x14ac:dyDescent="0.25">
      <c r="A206" s="17">
        <v>203</v>
      </c>
      <c r="D206" s="6" t="s">
        <v>19</v>
      </c>
      <c r="E206" s="6" t="s">
        <v>22</v>
      </c>
      <c r="F206" s="12">
        <v>0</v>
      </c>
      <c r="G206" s="12">
        <v>0</v>
      </c>
      <c r="H206" s="12">
        <v>0</v>
      </c>
      <c r="I206" s="12">
        <v>0</v>
      </c>
      <c r="J206" s="12">
        <v>0</v>
      </c>
      <c r="K206" s="12">
        <v>0</v>
      </c>
      <c r="L206" s="12">
        <v>0</v>
      </c>
      <c r="M206" s="12">
        <v>0</v>
      </c>
      <c r="N206" s="12">
        <v>0</v>
      </c>
      <c r="O206" s="12">
        <v>0</v>
      </c>
      <c r="P206" s="12">
        <v>0</v>
      </c>
      <c r="Q206" s="12">
        <v>0</v>
      </c>
      <c r="R206" s="12">
        <v>0</v>
      </c>
      <c r="S206" s="12">
        <v>0</v>
      </c>
      <c r="T206" s="12">
        <v>0</v>
      </c>
      <c r="U206" s="12">
        <v>0</v>
      </c>
      <c r="V206" s="12">
        <v>9.6067689999999999</v>
      </c>
      <c r="W206" s="12">
        <v>19.683938999999999</v>
      </c>
      <c r="X206" s="12">
        <v>0.45091400000000093</v>
      </c>
      <c r="Y206" s="12">
        <v>8.741498</v>
      </c>
      <c r="Z206" s="12">
        <v>-0.14177000000000106</v>
      </c>
      <c r="AA206" s="12">
        <v>5.5759219999999985</v>
      </c>
      <c r="AB206" s="12">
        <v>11.651551000000005</v>
      </c>
      <c r="AC206" s="26"/>
      <c r="AD206" s="26"/>
    </row>
    <row r="207" spans="1:30" ht="17.25" customHeight="1" x14ac:dyDescent="0.25">
      <c r="A207" s="17">
        <v>204</v>
      </c>
      <c r="D207" s="9"/>
      <c r="E207" s="9"/>
      <c r="F207" s="11">
        <v>0</v>
      </c>
      <c r="G207" s="11">
        <v>0</v>
      </c>
      <c r="H207" s="11">
        <v>0</v>
      </c>
      <c r="I207" s="11">
        <v>0</v>
      </c>
      <c r="J207" s="11">
        <v>0</v>
      </c>
      <c r="K207" s="11">
        <v>0</v>
      </c>
      <c r="L207" s="11">
        <v>0</v>
      </c>
      <c r="M207" s="11">
        <v>0</v>
      </c>
      <c r="N207" s="11">
        <v>0</v>
      </c>
      <c r="O207" s="11">
        <v>0</v>
      </c>
      <c r="P207" s="11">
        <v>0</v>
      </c>
      <c r="Q207" s="11">
        <v>0</v>
      </c>
      <c r="R207" s="11">
        <v>0</v>
      </c>
      <c r="S207" s="11">
        <v>0</v>
      </c>
      <c r="T207" s="11">
        <v>0</v>
      </c>
      <c r="U207" s="11">
        <v>0</v>
      </c>
      <c r="V207" s="11">
        <v>0</v>
      </c>
      <c r="W207" s="11">
        <v>0</v>
      </c>
      <c r="X207" s="11">
        <v>0</v>
      </c>
      <c r="Y207" s="11">
        <v>0</v>
      </c>
      <c r="Z207" s="11">
        <v>0</v>
      </c>
      <c r="AA207" s="11">
        <v>0</v>
      </c>
      <c r="AB207" s="11">
        <v>0</v>
      </c>
      <c r="AC207" s="26"/>
      <c r="AD207" s="26"/>
    </row>
    <row r="208" spans="1:30" ht="26.1" customHeight="1" x14ac:dyDescent="0.35">
      <c r="A208" s="17">
        <v>205</v>
      </c>
      <c r="B208" s="3"/>
      <c r="C208" s="5" t="s">
        <v>6</v>
      </c>
      <c r="D208" s="5"/>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26"/>
      <c r="AD208" s="26"/>
    </row>
    <row r="209" spans="1:30" ht="18" customHeight="1" x14ac:dyDescent="0.25">
      <c r="A209" s="17">
        <v>206</v>
      </c>
      <c r="D209" s="6" t="s">
        <v>13</v>
      </c>
      <c r="E209" s="6" t="s">
        <v>35</v>
      </c>
      <c r="F209" s="12">
        <f t="shared" ref="F209" si="362">F210+F211+F215+F216</f>
        <v>-45.212673044428826</v>
      </c>
      <c r="G209" s="12">
        <f t="shared" ref="G209:W209" si="363">G210+G211+G215+G216</f>
        <v>0.59964578644567879</v>
      </c>
      <c r="H209" s="12">
        <f t="shared" si="363"/>
        <v>-0.39329634920744311</v>
      </c>
      <c r="I209" s="12">
        <f t="shared" si="363"/>
        <v>-1.3614547295428623</v>
      </c>
      <c r="J209" s="12">
        <f t="shared" si="363"/>
        <v>-1.2398248140265931</v>
      </c>
      <c r="K209" s="12">
        <f t="shared" si="363"/>
        <v>0.4891983734463129</v>
      </c>
      <c r="L209" s="12">
        <f t="shared" si="363"/>
        <v>-0.58989309962551573</v>
      </c>
      <c r="M209" s="12">
        <f t="shared" si="363"/>
        <v>-1.2097848111686587</v>
      </c>
      <c r="N209" s="12">
        <f t="shared" si="363"/>
        <v>-0.42283399784529457</v>
      </c>
      <c r="O209" s="12">
        <f t="shared" si="363"/>
        <v>-0.21129537274817128</v>
      </c>
      <c r="P209" s="12">
        <f t="shared" si="363"/>
        <v>-0.14910238176445095</v>
      </c>
      <c r="Q209" s="12">
        <f t="shared" si="363"/>
        <v>0.29972186999999756</v>
      </c>
      <c r="R209" s="12">
        <f t="shared" si="363"/>
        <v>-13.317912029999999</v>
      </c>
      <c r="S209" s="12">
        <f t="shared" si="363"/>
        <v>-5.1810909999996435E-2</v>
      </c>
      <c r="T209" s="12">
        <f t="shared" si="363"/>
        <v>-4.3885290000006572E-2</v>
      </c>
      <c r="U209" s="12">
        <f t="shared" si="363"/>
        <v>-3.4483409999996384E-2</v>
      </c>
      <c r="V209" s="12">
        <f t="shared" si="363"/>
        <v>-3.0555569999997034E-2</v>
      </c>
      <c r="W209" s="12">
        <f t="shared" si="363"/>
        <v>-3.0451770000000017E-2</v>
      </c>
      <c r="X209" s="12">
        <f t="shared" ref="X209:Y209" si="364">X210+X211+X215+X216</f>
        <v>-3.0555569999999976E-2</v>
      </c>
      <c r="Y209" s="12">
        <f t="shared" si="364"/>
        <v>-3.0576670000000028E-2</v>
      </c>
      <c r="Z209" s="12">
        <f t="shared" ref="Z209" si="365">Z210+Z211+Z215+Z216</f>
        <v>-3.1013270000011917E-2</v>
      </c>
      <c r="AA209" s="12">
        <f t="shared" ref="AA209:AB209" si="366">AA210+AA211+AA215+AA216</f>
        <v>-2.991197999998807E-2</v>
      </c>
      <c r="AB209" s="12">
        <f t="shared" si="366"/>
        <v>-3.0662720000000004E-2</v>
      </c>
      <c r="AC209" s="26"/>
      <c r="AD209" s="26"/>
    </row>
    <row r="210" spans="1:30" x14ac:dyDescent="0.25">
      <c r="A210" s="17">
        <v>207</v>
      </c>
      <c r="D210" s="7" t="s">
        <v>14</v>
      </c>
      <c r="E210" s="7" t="s">
        <v>23</v>
      </c>
      <c r="F210" s="14">
        <v>-45.223218944428822</v>
      </c>
      <c r="G210" s="14">
        <v>0.63708606644567878</v>
      </c>
      <c r="H210" s="14">
        <v>-0.5008585492074431</v>
      </c>
      <c r="I210" s="14">
        <v>-1.2942919095428622</v>
      </c>
      <c r="J210" s="14">
        <v>-1.2148248140265931</v>
      </c>
      <c r="K210" s="14">
        <v>0.50419837344631291</v>
      </c>
      <c r="L210" s="14">
        <v>-0.57489309962551571</v>
      </c>
      <c r="M210" s="14">
        <v>-1.3447848111686587</v>
      </c>
      <c r="N210" s="14">
        <v>-0.38908399784529457</v>
      </c>
      <c r="O210" s="14">
        <v>-0.17754537274817128</v>
      </c>
      <c r="P210" s="14">
        <v>-0.11535238176445095</v>
      </c>
      <c r="Q210" s="14">
        <v>0.31847186999999755</v>
      </c>
      <c r="R210" s="14">
        <v>-13.242912029999999</v>
      </c>
      <c r="S210" s="14">
        <v>-5.1810909999996435E-2</v>
      </c>
      <c r="T210" s="14">
        <v>-4.3885290000006572E-2</v>
      </c>
      <c r="U210" s="14">
        <v>-3.4483409999996384E-2</v>
      </c>
      <c r="V210" s="14">
        <v>-3.0555569999997034E-2</v>
      </c>
      <c r="W210" s="14">
        <v>-3.0451770000000017E-2</v>
      </c>
      <c r="X210" s="14">
        <v>-3.0555569999999976E-2</v>
      </c>
      <c r="Y210" s="14">
        <v>-3.0576670000000028E-2</v>
      </c>
      <c r="Z210" s="14">
        <v>-3.1013270000011917E-2</v>
      </c>
      <c r="AA210" s="14">
        <v>-2.991197999998807E-2</v>
      </c>
      <c r="AB210" s="14">
        <v>-3.0662720000000004E-2</v>
      </c>
      <c r="AC210" s="26"/>
      <c r="AD210" s="26"/>
    </row>
    <row r="211" spans="1:30" x14ac:dyDescent="0.25">
      <c r="A211" s="17">
        <v>208</v>
      </c>
      <c r="D211" s="7" t="s">
        <v>15</v>
      </c>
      <c r="E211" s="7" t="s">
        <v>0</v>
      </c>
      <c r="F211" s="14">
        <f t="shared" ref="F211" si="367">SUM(F212:F214)</f>
        <v>0</v>
      </c>
      <c r="G211" s="14">
        <f t="shared" ref="G211:W211" si="368">SUM(G212:G214)</f>
        <v>0</v>
      </c>
      <c r="H211" s="14">
        <f t="shared" si="368"/>
        <v>0</v>
      </c>
      <c r="I211" s="14">
        <f t="shared" si="368"/>
        <v>0</v>
      </c>
      <c r="J211" s="14">
        <f t="shared" si="368"/>
        <v>0</v>
      </c>
      <c r="K211" s="14">
        <f t="shared" si="368"/>
        <v>0</v>
      </c>
      <c r="L211" s="14">
        <f t="shared" si="368"/>
        <v>0</v>
      </c>
      <c r="M211" s="14">
        <f t="shared" si="368"/>
        <v>0</v>
      </c>
      <c r="N211" s="14">
        <f t="shared" si="368"/>
        <v>0</v>
      </c>
      <c r="O211" s="14">
        <f t="shared" si="368"/>
        <v>0</v>
      </c>
      <c r="P211" s="14">
        <f t="shared" si="368"/>
        <v>0</v>
      </c>
      <c r="Q211" s="14">
        <f t="shared" si="368"/>
        <v>0</v>
      </c>
      <c r="R211" s="14">
        <f t="shared" si="368"/>
        <v>0</v>
      </c>
      <c r="S211" s="14">
        <f t="shared" si="368"/>
        <v>0</v>
      </c>
      <c r="T211" s="14">
        <f t="shared" si="368"/>
        <v>0</v>
      </c>
      <c r="U211" s="14">
        <f t="shared" si="368"/>
        <v>0</v>
      </c>
      <c r="V211" s="14">
        <f t="shared" si="368"/>
        <v>0</v>
      </c>
      <c r="W211" s="14">
        <f t="shared" si="368"/>
        <v>0</v>
      </c>
      <c r="X211" s="14">
        <f t="shared" ref="X211:Y211" si="369">SUM(X212:X214)</f>
        <v>0</v>
      </c>
      <c r="Y211" s="14">
        <f t="shared" si="369"/>
        <v>0</v>
      </c>
      <c r="Z211" s="14">
        <f t="shared" ref="Z211" si="370">SUM(Z212:Z214)</f>
        <v>0</v>
      </c>
      <c r="AA211" s="14">
        <f t="shared" ref="AA211:AB211" si="371">SUM(AA212:AA214)</f>
        <v>0</v>
      </c>
      <c r="AB211" s="14">
        <f t="shared" si="371"/>
        <v>0</v>
      </c>
      <c r="AC211" s="26"/>
      <c r="AD211" s="26"/>
    </row>
    <row r="212" spans="1:30" x14ac:dyDescent="0.25">
      <c r="A212" s="17">
        <v>209</v>
      </c>
      <c r="D212" s="8" t="s">
        <v>26</v>
      </c>
      <c r="E212" s="8" t="s">
        <v>25</v>
      </c>
      <c r="F212" s="15">
        <v>0</v>
      </c>
      <c r="G212" s="15">
        <v>0</v>
      </c>
      <c r="H212" s="15">
        <v>0</v>
      </c>
      <c r="I212" s="15">
        <v>0</v>
      </c>
      <c r="J212" s="15">
        <v>0</v>
      </c>
      <c r="K212" s="15">
        <v>0</v>
      </c>
      <c r="L212" s="15">
        <v>0</v>
      </c>
      <c r="M212" s="15">
        <v>0</v>
      </c>
      <c r="N212" s="15">
        <v>0</v>
      </c>
      <c r="O212" s="15">
        <v>0</v>
      </c>
      <c r="P212" s="15">
        <v>0</v>
      </c>
      <c r="Q212" s="15">
        <v>0</v>
      </c>
      <c r="R212" s="15">
        <v>0</v>
      </c>
      <c r="S212" s="15">
        <v>0</v>
      </c>
      <c r="T212" s="15">
        <v>0</v>
      </c>
      <c r="U212" s="15">
        <v>0</v>
      </c>
      <c r="V212" s="15">
        <v>0</v>
      </c>
      <c r="W212" s="15">
        <v>0</v>
      </c>
      <c r="X212" s="15">
        <v>0</v>
      </c>
      <c r="Y212" s="15">
        <v>0</v>
      </c>
      <c r="Z212" s="15">
        <v>0</v>
      </c>
      <c r="AA212" s="15">
        <v>0</v>
      </c>
      <c r="AB212" s="15">
        <v>0</v>
      </c>
      <c r="AC212" s="26"/>
      <c r="AD212" s="26"/>
    </row>
    <row r="213" spans="1:30" x14ac:dyDescent="0.25">
      <c r="A213" s="17">
        <v>210</v>
      </c>
      <c r="D213" s="8" t="s">
        <v>16</v>
      </c>
      <c r="E213" s="8" t="s">
        <v>27</v>
      </c>
      <c r="F213" s="15">
        <v>0</v>
      </c>
      <c r="G213" s="15">
        <v>0</v>
      </c>
      <c r="H213" s="15">
        <v>0</v>
      </c>
      <c r="I213" s="15">
        <v>0</v>
      </c>
      <c r="J213" s="15">
        <v>0</v>
      </c>
      <c r="K213" s="15">
        <v>0</v>
      </c>
      <c r="L213" s="15">
        <v>0</v>
      </c>
      <c r="M213" s="15">
        <v>0</v>
      </c>
      <c r="N213" s="15">
        <v>0</v>
      </c>
      <c r="O213" s="15">
        <v>0</v>
      </c>
      <c r="P213" s="15">
        <v>0</v>
      </c>
      <c r="Q213" s="15">
        <v>0</v>
      </c>
      <c r="R213" s="15">
        <v>0</v>
      </c>
      <c r="S213" s="15">
        <v>0</v>
      </c>
      <c r="T213" s="15">
        <v>0</v>
      </c>
      <c r="U213" s="15">
        <v>0</v>
      </c>
      <c r="V213" s="15">
        <v>0</v>
      </c>
      <c r="W213" s="15">
        <v>0</v>
      </c>
      <c r="X213" s="15">
        <v>0</v>
      </c>
      <c r="Y213" s="15">
        <v>0</v>
      </c>
      <c r="Z213" s="15">
        <v>0</v>
      </c>
      <c r="AA213" s="15">
        <v>0</v>
      </c>
      <c r="AB213" s="15">
        <v>0</v>
      </c>
      <c r="AC213" s="26"/>
      <c r="AD213" s="26"/>
    </row>
    <row r="214" spans="1:30" x14ac:dyDescent="0.25">
      <c r="A214" s="17">
        <v>211</v>
      </c>
      <c r="D214" s="8" t="s">
        <v>17</v>
      </c>
      <c r="E214" s="8" t="s">
        <v>28</v>
      </c>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26"/>
      <c r="AD214" s="26"/>
    </row>
    <row r="215" spans="1:30" x14ac:dyDescent="0.25">
      <c r="A215" s="17">
        <v>212</v>
      </c>
      <c r="D215" s="7" t="s">
        <v>1</v>
      </c>
      <c r="E215" s="7" t="s">
        <v>29</v>
      </c>
      <c r="F215" s="14">
        <v>0</v>
      </c>
      <c r="G215" s="14">
        <v>0</v>
      </c>
      <c r="H215" s="14">
        <v>0</v>
      </c>
      <c r="I215" s="14">
        <v>0</v>
      </c>
      <c r="J215" s="14">
        <v>0</v>
      </c>
      <c r="K215" s="14">
        <v>0</v>
      </c>
      <c r="L215" s="14">
        <v>0</v>
      </c>
      <c r="M215" s="14">
        <v>0</v>
      </c>
      <c r="N215" s="14">
        <v>0</v>
      </c>
      <c r="O215" s="14">
        <v>0</v>
      </c>
      <c r="P215" s="14">
        <v>0</v>
      </c>
      <c r="Q215" s="14">
        <v>0</v>
      </c>
      <c r="R215" s="14">
        <v>0</v>
      </c>
      <c r="S215" s="14">
        <v>0</v>
      </c>
      <c r="T215" s="14">
        <v>0</v>
      </c>
      <c r="U215" s="14">
        <v>0</v>
      </c>
      <c r="V215" s="14">
        <v>0</v>
      </c>
      <c r="W215" s="14">
        <v>0</v>
      </c>
      <c r="X215" s="14">
        <v>0</v>
      </c>
      <c r="Y215" s="14">
        <v>0</v>
      </c>
      <c r="Z215" s="14">
        <v>0</v>
      </c>
      <c r="AA215" s="14">
        <v>0</v>
      </c>
      <c r="AB215" s="14">
        <v>0</v>
      </c>
      <c r="AC215" s="26"/>
      <c r="AD215" s="26"/>
    </row>
    <row r="216" spans="1:30" x14ac:dyDescent="0.25">
      <c r="A216" s="17">
        <v>213</v>
      </c>
      <c r="D216" s="7" t="s">
        <v>30</v>
      </c>
      <c r="E216" s="7" t="s">
        <v>31</v>
      </c>
      <c r="F216" s="14">
        <v>1.0545899999999997E-2</v>
      </c>
      <c r="G216" s="14">
        <v>-3.7440280000000006E-2</v>
      </c>
      <c r="H216" s="14">
        <v>0.10756220000000001</v>
      </c>
      <c r="I216" s="14">
        <v>-6.7162819999999998E-2</v>
      </c>
      <c r="J216" s="14">
        <v>-2.5000000000000008E-2</v>
      </c>
      <c r="K216" s="14">
        <v>-1.4999999999999999E-2</v>
      </c>
      <c r="L216" s="14">
        <v>-1.4999999999999999E-2</v>
      </c>
      <c r="M216" s="14">
        <v>0.13500000000000001</v>
      </c>
      <c r="N216" s="14">
        <v>-3.3750000000000002E-2</v>
      </c>
      <c r="O216" s="14">
        <v>-3.3750000000000002E-2</v>
      </c>
      <c r="P216" s="14">
        <v>-3.3750000000000002E-2</v>
      </c>
      <c r="Q216" s="14">
        <v>-1.8750000000000003E-2</v>
      </c>
      <c r="R216" s="14">
        <v>-7.4999999999999997E-2</v>
      </c>
      <c r="S216" s="14">
        <v>0</v>
      </c>
      <c r="T216" s="14">
        <v>0</v>
      </c>
      <c r="U216" s="14">
        <v>0</v>
      </c>
      <c r="V216" s="14">
        <v>0</v>
      </c>
      <c r="W216" s="14">
        <v>0</v>
      </c>
      <c r="X216" s="14">
        <v>0</v>
      </c>
      <c r="Y216" s="14">
        <v>0</v>
      </c>
      <c r="Z216" s="14">
        <v>0</v>
      </c>
      <c r="AA216" s="14">
        <v>0</v>
      </c>
      <c r="AB216" s="14">
        <v>0</v>
      </c>
      <c r="AC216" s="26"/>
      <c r="AD216" s="26"/>
    </row>
    <row r="217" spans="1:30" ht="15.75" x14ac:dyDescent="0.25">
      <c r="A217" s="17">
        <v>214</v>
      </c>
      <c r="D217" s="6" t="s">
        <v>19</v>
      </c>
      <c r="E217" s="6" t="s">
        <v>22</v>
      </c>
      <c r="F217" s="12">
        <v>0</v>
      </c>
      <c r="G217" s="12">
        <v>0</v>
      </c>
      <c r="H217" s="12">
        <v>0</v>
      </c>
      <c r="I217" s="12">
        <v>0</v>
      </c>
      <c r="J217" s="12">
        <v>0</v>
      </c>
      <c r="K217" s="12">
        <v>0</v>
      </c>
      <c r="L217" s="12">
        <v>0</v>
      </c>
      <c r="M217" s="12">
        <v>0</v>
      </c>
      <c r="N217" s="12">
        <v>0</v>
      </c>
      <c r="O217" s="12">
        <v>0</v>
      </c>
      <c r="P217" s="12">
        <v>0</v>
      </c>
      <c r="Q217" s="12">
        <v>0</v>
      </c>
      <c r="R217" s="12">
        <v>0</v>
      </c>
      <c r="S217" s="12">
        <v>0</v>
      </c>
      <c r="T217" s="12">
        <v>0</v>
      </c>
      <c r="U217" s="12">
        <v>0</v>
      </c>
      <c r="V217" s="12">
        <v>0</v>
      </c>
      <c r="W217" s="12">
        <v>0</v>
      </c>
      <c r="X217" s="12">
        <v>0</v>
      </c>
      <c r="Y217" s="12">
        <v>0</v>
      </c>
      <c r="Z217" s="12">
        <v>0</v>
      </c>
      <c r="AA217" s="12">
        <v>0</v>
      </c>
      <c r="AB217" s="12">
        <v>0</v>
      </c>
      <c r="AC217" s="26"/>
      <c r="AD217" s="26"/>
    </row>
    <row r="218" spans="1:30" ht="9" customHeight="1" x14ac:dyDescent="0.25">
      <c r="A218" s="17">
        <v>215</v>
      </c>
      <c r="D218" s="9"/>
      <c r="E218" s="9"/>
      <c r="F218" s="11">
        <v>0</v>
      </c>
      <c r="G218" s="11">
        <v>0</v>
      </c>
      <c r="H218" s="11">
        <v>0</v>
      </c>
      <c r="I218" s="11">
        <v>0</v>
      </c>
      <c r="J218" s="11">
        <v>0</v>
      </c>
      <c r="K218" s="11">
        <v>0</v>
      </c>
      <c r="L218" s="11">
        <v>0</v>
      </c>
      <c r="M218" s="11">
        <v>0</v>
      </c>
      <c r="N218" s="11">
        <v>0</v>
      </c>
      <c r="O218" s="11">
        <v>0</v>
      </c>
      <c r="P218" s="11">
        <v>0</v>
      </c>
      <c r="Q218" s="11">
        <v>0</v>
      </c>
      <c r="R218" s="11">
        <v>0</v>
      </c>
      <c r="S218" s="11">
        <v>0</v>
      </c>
      <c r="T218" s="11">
        <v>0</v>
      </c>
      <c r="U218" s="11">
        <v>0</v>
      </c>
      <c r="V218" s="11">
        <v>0</v>
      </c>
      <c r="W218" s="11">
        <v>0</v>
      </c>
      <c r="X218" s="11">
        <v>0</v>
      </c>
      <c r="Y218" s="11">
        <v>0</v>
      </c>
      <c r="Z218" s="11">
        <v>0</v>
      </c>
      <c r="AA218" s="11">
        <v>0</v>
      </c>
      <c r="AB218" s="11">
        <v>0</v>
      </c>
      <c r="AC218" s="26"/>
      <c r="AD218" s="26"/>
    </row>
    <row r="219" spans="1:30" ht="26.1" customHeight="1" x14ac:dyDescent="0.35">
      <c r="A219" s="17">
        <v>216</v>
      </c>
      <c r="B219" s="3"/>
      <c r="C219" s="5" t="s">
        <v>24</v>
      </c>
      <c r="D219" s="5"/>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26"/>
      <c r="AD219" s="26"/>
    </row>
    <row r="220" spans="1:30" ht="18" customHeight="1" x14ac:dyDescent="0.25">
      <c r="A220" s="17">
        <v>217</v>
      </c>
      <c r="D220" s="6" t="s">
        <v>13</v>
      </c>
      <c r="E220" s="6" t="s">
        <v>35</v>
      </c>
      <c r="F220" s="12">
        <f t="shared" ref="F220" si="372">F221+F222+F226+F227</f>
        <v>3.2583531561667769</v>
      </c>
      <c r="G220" s="12">
        <f t="shared" ref="G220:W220" si="373">G221+G222+G226+G227</f>
        <v>1.3620572950024581</v>
      </c>
      <c r="H220" s="12">
        <f t="shared" si="373"/>
        <v>0.30041156492116272</v>
      </c>
      <c r="I220" s="12">
        <f t="shared" si="373"/>
        <v>-0.45202054050312057</v>
      </c>
      <c r="J220" s="12">
        <f t="shared" si="373"/>
        <v>1.8320745738704431</v>
      </c>
      <c r="K220" s="12">
        <f t="shared" si="373"/>
        <v>1.7715183927509912</v>
      </c>
      <c r="L220" s="12">
        <f t="shared" si="373"/>
        <v>10.819960232282192</v>
      </c>
      <c r="M220" s="12">
        <f t="shared" si="373"/>
        <v>0.39930487129355896</v>
      </c>
      <c r="N220" s="12">
        <f t="shared" si="373"/>
        <v>1.7618000843683035E-2</v>
      </c>
      <c r="O220" s="12">
        <f t="shared" si="373"/>
        <v>0.1327390687364769</v>
      </c>
      <c r="P220" s="12">
        <f t="shared" si="373"/>
        <v>-7.0815668004234738</v>
      </c>
      <c r="Q220" s="12">
        <f t="shared" si="373"/>
        <v>-10.901462379379865</v>
      </c>
      <c r="R220" s="12">
        <f t="shared" si="373"/>
        <v>7.856865644529563</v>
      </c>
      <c r="S220" s="12">
        <f t="shared" si="373"/>
        <v>2.9826432810608381</v>
      </c>
      <c r="T220" s="12">
        <f t="shared" si="373"/>
        <v>2.786370581661167</v>
      </c>
      <c r="U220" s="12">
        <f t="shared" si="373"/>
        <v>8.4629643826360734E-2</v>
      </c>
      <c r="V220" s="12">
        <f t="shared" si="373"/>
        <v>-0.81413492420946199</v>
      </c>
      <c r="W220" s="12">
        <f t="shared" si="373"/>
        <v>-0.49885867207362367</v>
      </c>
      <c r="X220" s="12">
        <f t="shared" ref="X220:Y220" si="374">X221+X222+X226+X227</f>
        <v>-0.18985532321806176</v>
      </c>
      <c r="Y220" s="12">
        <f t="shared" si="374"/>
        <v>-7.4772749331380313</v>
      </c>
      <c r="Z220" s="12">
        <f t="shared" ref="Z220" si="375">Z221+Z222+Z226+Z227</f>
        <v>-2.1131842188907513</v>
      </c>
      <c r="AA220" s="12">
        <f t="shared" ref="AA220:AB220" si="376">AA221+AA222+AA226+AA227</f>
        <v>-2.8013259764018059</v>
      </c>
      <c r="AB220" s="12">
        <f t="shared" si="376"/>
        <v>-3.4804369364866616</v>
      </c>
      <c r="AC220" s="26"/>
      <c r="AD220" s="26"/>
    </row>
    <row r="221" spans="1:30" x14ac:dyDescent="0.25">
      <c r="A221" s="17">
        <v>218</v>
      </c>
      <c r="D221" s="7" t="s">
        <v>14</v>
      </c>
      <c r="E221" s="7" t="s">
        <v>23</v>
      </c>
      <c r="F221" s="15">
        <v>3.2583531561667769</v>
      </c>
      <c r="G221" s="15">
        <v>1.3620572950024581</v>
      </c>
      <c r="H221" s="15">
        <v>0.30041156492116272</v>
      </c>
      <c r="I221" s="15">
        <v>-0.45202054050312057</v>
      </c>
      <c r="J221" s="15">
        <v>1.8320745738704431</v>
      </c>
      <c r="K221" s="15">
        <v>1.7715183927509912</v>
      </c>
      <c r="L221" s="15">
        <v>10.819960232282192</v>
      </c>
      <c r="M221" s="15">
        <v>0.39930487129355896</v>
      </c>
      <c r="N221" s="15">
        <v>1.7618000843683035E-2</v>
      </c>
      <c r="O221" s="15">
        <v>0.1327390687364769</v>
      </c>
      <c r="P221" s="15">
        <v>-7.0815668004234738</v>
      </c>
      <c r="Q221" s="15">
        <v>-10.901462379379865</v>
      </c>
      <c r="R221" s="15">
        <v>7.856865644529563</v>
      </c>
      <c r="S221" s="15">
        <v>2.9826432810608381</v>
      </c>
      <c r="T221" s="15">
        <v>2.786370581661167</v>
      </c>
      <c r="U221" s="15">
        <v>8.4629643826360734E-2</v>
      </c>
      <c r="V221" s="15">
        <v>-0.81413492420946199</v>
      </c>
      <c r="W221" s="15">
        <v>-0.49885867207362367</v>
      </c>
      <c r="X221" s="15">
        <v>-0.18985532321806176</v>
      </c>
      <c r="Y221" s="15">
        <v>-7.4772749331380313</v>
      </c>
      <c r="Z221" s="15">
        <v>-2.1131842188907513</v>
      </c>
      <c r="AA221" s="15">
        <v>-2.8013259764018059</v>
      </c>
      <c r="AB221" s="15">
        <v>-3.4804369364866616</v>
      </c>
      <c r="AC221" s="26"/>
      <c r="AD221" s="26"/>
    </row>
    <row r="222" spans="1:30" x14ac:dyDescent="0.25">
      <c r="A222" s="17">
        <v>219</v>
      </c>
      <c r="D222" s="7" t="s">
        <v>15</v>
      </c>
      <c r="E222" s="7" t="s">
        <v>0</v>
      </c>
      <c r="F222" s="14">
        <f t="shared" ref="F222" si="377">SUM(F223:F225)</f>
        <v>0</v>
      </c>
      <c r="G222" s="14">
        <f t="shared" ref="G222:W222" si="378">SUM(G223:G225)</f>
        <v>0</v>
      </c>
      <c r="H222" s="14">
        <f t="shared" si="378"/>
        <v>0</v>
      </c>
      <c r="I222" s="14">
        <f t="shared" si="378"/>
        <v>0</v>
      </c>
      <c r="J222" s="14">
        <f t="shared" si="378"/>
        <v>0</v>
      </c>
      <c r="K222" s="14">
        <f t="shared" si="378"/>
        <v>0</v>
      </c>
      <c r="L222" s="14">
        <f t="shared" si="378"/>
        <v>0</v>
      </c>
      <c r="M222" s="14">
        <f t="shared" si="378"/>
        <v>0</v>
      </c>
      <c r="N222" s="14">
        <f t="shared" si="378"/>
        <v>0</v>
      </c>
      <c r="O222" s="14">
        <f t="shared" si="378"/>
        <v>0</v>
      </c>
      <c r="P222" s="14">
        <f t="shared" si="378"/>
        <v>0</v>
      </c>
      <c r="Q222" s="14">
        <f t="shared" si="378"/>
        <v>0</v>
      </c>
      <c r="R222" s="14">
        <f t="shared" si="378"/>
        <v>0</v>
      </c>
      <c r="S222" s="14">
        <f t="shared" si="378"/>
        <v>0</v>
      </c>
      <c r="T222" s="14">
        <f t="shared" si="378"/>
        <v>0</v>
      </c>
      <c r="U222" s="14">
        <f t="shared" si="378"/>
        <v>0</v>
      </c>
      <c r="V222" s="14">
        <f t="shared" si="378"/>
        <v>0</v>
      </c>
      <c r="W222" s="14">
        <f t="shared" si="378"/>
        <v>0</v>
      </c>
      <c r="X222" s="14">
        <f t="shared" ref="X222:Y222" si="379">SUM(X223:X225)</f>
        <v>0</v>
      </c>
      <c r="Y222" s="14">
        <f t="shared" si="379"/>
        <v>0</v>
      </c>
      <c r="Z222" s="14">
        <f t="shared" ref="Z222" si="380">SUM(Z223:Z225)</f>
        <v>0</v>
      </c>
      <c r="AA222" s="14">
        <f t="shared" ref="AA222:AB222" si="381">SUM(AA223:AA225)</f>
        <v>0</v>
      </c>
      <c r="AB222" s="14">
        <f t="shared" si="381"/>
        <v>0</v>
      </c>
      <c r="AC222" s="26"/>
      <c r="AD222" s="26"/>
    </row>
    <row r="223" spans="1:30" x14ac:dyDescent="0.25">
      <c r="A223" s="17">
        <v>220</v>
      </c>
      <c r="D223" s="8" t="s">
        <v>26</v>
      </c>
      <c r="E223" s="8" t="s">
        <v>25</v>
      </c>
      <c r="F223" s="15">
        <v>0</v>
      </c>
      <c r="G223" s="15">
        <v>0</v>
      </c>
      <c r="H223" s="15">
        <v>0</v>
      </c>
      <c r="I223" s="15">
        <v>0</v>
      </c>
      <c r="J223" s="15">
        <v>0</v>
      </c>
      <c r="K223" s="15">
        <v>0</v>
      </c>
      <c r="L223" s="15">
        <v>0</v>
      </c>
      <c r="M223" s="15">
        <v>0</v>
      </c>
      <c r="N223" s="15">
        <v>0</v>
      </c>
      <c r="O223" s="15">
        <v>0</v>
      </c>
      <c r="P223" s="15">
        <v>0</v>
      </c>
      <c r="Q223" s="15">
        <v>0</v>
      </c>
      <c r="R223" s="15">
        <v>0</v>
      </c>
      <c r="S223" s="15">
        <v>0</v>
      </c>
      <c r="T223" s="15">
        <v>0</v>
      </c>
      <c r="U223" s="15">
        <v>0</v>
      </c>
      <c r="V223" s="15">
        <v>0</v>
      </c>
      <c r="W223" s="15">
        <v>0</v>
      </c>
      <c r="X223" s="15">
        <v>0</v>
      </c>
      <c r="Y223" s="15">
        <v>0</v>
      </c>
      <c r="Z223" s="15">
        <v>0</v>
      </c>
      <c r="AA223" s="15">
        <v>0</v>
      </c>
      <c r="AB223" s="15">
        <v>0</v>
      </c>
      <c r="AC223" s="26"/>
      <c r="AD223" s="26"/>
    </row>
    <row r="224" spans="1:30" x14ac:dyDescent="0.25">
      <c r="A224" s="17">
        <v>221</v>
      </c>
      <c r="D224" s="8" t="s">
        <v>16</v>
      </c>
      <c r="E224" s="8" t="s">
        <v>27</v>
      </c>
      <c r="F224" s="15">
        <v>0</v>
      </c>
      <c r="G224" s="15">
        <v>0</v>
      </c>
      <c r="H224" s="15">
        <v>0</v>
      </c>
      <c r="I224" s="15">
        <v>0</v>
      </c>
      <c r="J224" s="15">
        <v>0</v>
      </c>
      <c r="K224" s="15">
        <v>0</v>
      </c>
      <c r="L224" s="15">
        <v>0</v>
      </c>
      <c r="M224" s="15">
        <v>0</v>
      </c>
      <c r="N224" s="15">
        <v>0</v>
      </c>
      <c r="O224" s="15">
        <v>0</v>
      </c>
      <c r="P224" s="15">
        <v>0</v>
      </c>
      <c r="Q224" s="15">
        <v>0</v>
      </c>
      <c r="R224" s="15">
        <v>0</v>
      </c>
      <c r="S224" s="15">
        <v>0</v>
      </c>
      <c r="T224" s="15">
        <v>0</v>
      </c>
      <c r="U224" s="15">
        <v>0</v>
      </c>
      <c r="V224" s="15">
        <v>0</v>
      </c>
      <c r="W224" s="15">
        <v>0</v>
      </c>
      <c r="X224" s="15">
        <v>0</v>
      </c>
      <c r="Y224" s="15">
        <v>0</v>
      </c>
      <c r="Z224" s="15">
        <v>0</v>
      </c>
      <c r="AA224" s="15">
        <v>0</v>
      </c>
      <c r="AB224" s="15">
        <v>0</v>
      </c>
      <c r="AC224" s="26"/>
      <c r="AD224" s="26"/>
    </row>
    <row r="225" spans="1:30" x14ac:dyDescent="0.25">
      <c r="A225" s="17">
        <v>222</v>
      </c>
      <c r="D225" s="8" t="s">
        <v>17</v>
      </c>
      <c r="E225" s="8" t="s">
        <v>28</v>
      </c>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26"/>
      <c r="AD225" s="26"/>
    </row>
    <row r="226" spans="1:30" x14ac:dyDescent="0.25">
      <c r="A226" s="17">
        <v>223</v>
      </c>
      <c r="D226" s="7" t="s">
        <v>1</v>
      </c>
      <c r="E226" s="7" t="s">
        <v>29</v>
      </c>
      <c r="F226" s="14">
        <v>0</v>
      </c>
      <c r="G226" s="14">
        <v>0</v>
      </c>
      <c r="H226" s="14">
        <v>0</v>
      </c>
      <c r="I226" s="14">
        <v>0</v>
      </c>
      <c r="J226" s="14">
        <v>0</v>
      </c>
      <c r="K226" s="14">
        <v>0</v>
      </c>
      <c r="L226" s="14">
        <v>0</v>
      </c>
      <c r="M226" s="14">
        <v>0</v>
      </c>
      <c r="N226" s="14">
        <v>0</v>
      </c>
      <c r="O226" s="14">
        <v>0</v>
      </c>
      <c r="P226" s="14">
        <v>0</v>
      </c>
      <c r="Q226" s="14">
        <v>0</v>
      </c>
      <c r="R226" s="14">
        <v>0</v>
      </c>
      <c r="S226" s="14">
        <v>0</v>
      </c>
      <c r="T226" s="14">
        <v>0</v>
      </c>
      <c r="U226" s="14">
        <v>0</v>
      </c>
      <c r="V226" s="14">
        <v>0</v>
      </c>
      <c r="W226" s="14">
        <v>0</v>
      </c>
      <c r="X226" s="14">
        <v>0</v>
      </c>
      <c r="Y226" s="14">
        <v>0</v>
      </c>
      <c r="Z226" s="14">
        <v>0</v>
      </c>
      <c r="AA226" s="14">
        <v>0</v>
      </c>
      <c r="AB226" s="14">
        <v>0</v>
      </c>
      <c r="AC226" s="26"/>
      <c r="AD226" s="26"/>
    </row>
    <row r="227" spans="1:30" x14ac:dyDescent="0.25">
      <c r="A227" s="17">
        <v>224</v>
      </c>
      <c r="D227" s="7" t="s">
        <v>30</v>
      </c>
      <c r="E227" s="7" t="s">
        <v>31</v>
      </c>
      <c r="F227" s="14">
        <v>0</v>
      </c>
      <c r="G227" s="14">
        <v>0</v>
      </c>
      <c r="H227" s="14">
        <v>0</v>
      </c>
      <c r="I227" s="14">
        <v>0</v>
      </c>
      <c r="J227" s="14">
        <v>0</v>
      </c>
      <c r="K227" s="14">
        <v>0</v>
      </c>
      <c r="L227" s="14">
        <v>0</v>
      </c>
      <c r="M227" s="14">
        <v>0</v>
      </c>
      <c r="N227" s="14">
        <v>0</v>
      </c>
      <c r="O227" s="14">
        <v>0</v>
      </c>
      <c r="P227" s="14">
        <v>0</v>
      </c>
      <c r="Q227" s="14">
        <v>0</v>
      </c>
      <c r="R227" s="14">
        <v>0</v>
      </c>
      <c r="S227" s="14">
        <v>0</v>
      </c>
      <c r="T227" s="14">
        <v>0</v>
      </c>
      <c r="U227" s="14">
        <v>0</v>
      </c>
      <c r="V227" s="14">
        <v>0</v>
      </c>
      <c r="W227" s="14">
        <v>0</v>
      </c>
      <c r="X227" s="14">
        <v>0</v>
      </c>
      <c r="Y227" s="14">
        <v>0</v>
      </c>
      <c r="Z227" s="14">
        <v>0</v>
      </c>
      <c r="AA227" s="14">
        <v>0</v>
      </c>
      <c r="AB227" s="14">
        <v>0</v>
      </c>
      <c r="AC227" s="26"/>
      <c r="AD227" s="26"/>
    </row>
    <row r="228" spans="1:30" ht="15.75" x14ac:dyDescent="0.25">
      <c r="A228" s="17">
        <v>225</v>
      </c>
      <c r="D228" s="6" t="s">
        <v>19</v>
      </c>
      <c r="E228" s="6" t="s">
        <v>22</v>
      </c>
      <c r="F228" s="12">
        <v>0</v>
      </c>
      <c r="G228" s="12">
        <v>0</v>
      </c>
      <c r="H228" s="12">
        <v>22.983568000000005</v>
      </c>
      <c r="I228" s="12">
        <v>0</v>
      </c>
      <c r="J228" s="12">
        <v>0</v>
      </c>
      <c r="K228" s="12">
        <v>0</v>
      </c>
      <c r="L228" s="12">
        <v>0</v>
      </c>
      <c r="M228" s="12">
        <v>0</v>
      </c>
      <c r="N228" s="12">
        <v>0</v>
      </c>
      <c r="O228" s="12">
        <v>0</v>
      </c>
      <c r="P228" s="12">
        <v>0</v>
      </c>
      <c r="Q228" s="12">
        <v>-4.9269870000000111</v>
      </c>
      <c r="R228" s="12">
        <v>0</v>
      </c>
      <c r="S228" s="12">
        <v>0</v>
      </c>
      <c r="T228" s="12">
        <v>0</v>
      </c>
      <c r="U228" s="12">
        <v>-4.369569999999996</v>
      </c>
      <c r="V228" s="12">
        <v>-3.9999999978945766E-7</v>
      </c>
      <c r="W228" s="12">
        <v>0</v>
      </c>
      <c r="X228" s="12">
        <v>0</v>
      </c>
      <c r="Y228" s="12">
        <v>-2.0412989999999951</v>
      </c>
      <c r="Z228" s="12">
        <v>0</v>
      </c>
      <c r="AA228" s="12">
        <v>0</v>
      </c>
      <c r="AB228" s="12">
        <v>-110.980631</v>
      </c>
      <c r="AC228" s="26"/>
      <c r="AD228" s="26"/>
    </row>
    <row r="229" spans="1:30" ht="9" customHeight="1" x14ac:dyDescent="0.25">
      <c r="A229" s="17">
        <v>226</v>
      </c>
      <c r="D229" s="9"/>
      <c r="E229" s="9"/>
      <c r="F229" s="11">
        <v>0</v>
      </c>
      <c r="G229" s="11">
        <v>0</v>
      </c>
      <c r="H229" s="11">
        <v>0</v>
      </c>
      <c r="I229" s="11">
        <v>0</v>
      </c>
      <c r="J229" s="11">
        <v>0</v>
      </c>
      <c r="K229" s="11">
        <v>0</v>
      </c>
      <c r="L229" s="11">
        <v>0</v>
      </c>
      <c r="M229" s="11">
        <v>0</v>
      </c>
      <c r="N229" s="11">
        <v>0</v>
      </c>
      <c r="O229" s="11">
        <v>0</v>
      </c>
      <c r="P229" s="11">
        <v>0</v>
      </c>
      <c r="Q229" s="11">
        <v>0</v>
      </c>
      <c r="R229" s="11">
        <v>0</v>
      </c>
      <c r="S229" s="11">
        <v>0</v>
      </c>
      <c r="T229" s="11">
        <v>0</v>
      </c>
      <c r="U229" s="11">
        <v>0</v>
      </c>
      <c r="V229" s="11">
        <v>0</v>
      </c>
      <c r="W229" s="11">
        <v>0</v>
      </c>
      <c r="X229" s="11">
        <v>0</v>
      </c>
      <c r="Y229" s="11">
        <v>0</v>
      </c>
      <c r="Z229" s="11">
        <v>0</v>
      </c>
      <c r="AA229" s="11">
        <v>0</v>
      </c>
      <c r="AB229" s="11">
        <v>0</v>
      </c>
      <c r="AC229" s="26"/>
      <c r="AD229" s="26"/>
    </row>
    <row r="230" spans="1:30" ht="35.1" customHeight="1" x14ac:dyDescent="0.35">
      <c r="A230" s="17">
        <v>227</v>
      </c>
      <c r="B230" s="10" t="s">
        <v>34</v>
      </c>
      <c r="C230" s="3"/>
      <c r="D230" s="3"/>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26"/>
      <c r="AD230" s="26"/>
    </row>
    <row r="231" spans="1:30" ht="26.1" customHeight="1" x14ac:dyDescent="0.35">
      <c r="A231" s="17">
        <v>228</v>
      </c>
      <c r="B231" s="3"/>
      <c r="C231" s="5" t="s">
        <v>10</v>
      </c>
      <c r="D231" s="5"/>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26"/>
      <c r="AD231" s="26"/>
    </row>
    <row r="232" spans="1:30" ht="18" customHeight="1" x14ac:dyDescent="0.25">
      <c r="A232" s="17">
        <v>229</v>
      </c>
      <c r="D232" s="6" t="s">
        <v>13</v>
      </c>
      <c r="E232" s="6" t="s">
        <v>35</v>
      </c>
      <c r="F232" s="12">
        <f>F233+F234+F238+F239</f>
        <v>-174.56444115025084</v>
      </c>
      <c r="G232" s="12">
        <f t="shared" ref="G232" si="382">G233+G234+G238+G239</f>
        <v>3962.3586210379681</v>
      </c>
      <c r="H232" s="12">
        <f t="shared" ref="H232" si="383">H233+H234+H238+H239</f>
        <v>2359.158315125263</v>
      </c>
      <c r="I232" s="12">
        <f t="shared" ref="I232" si="384">I233+I234+I238+I239</f>
        <v>-1907.2349986226066</v>
      </c>
      <c r="J232" s="12">
        <f t="shared" ref="J232" si="385">J233+J234+J238+J239</f>
        <v>1580.7157045242295</v>
      </c>
      <c r="K232" s="12">
        <f t="shared" ref="K232" si="386">K233+K234+K238+K239</f>
        <v>1045.8345062473563</v>
      </c>
      <c r="L232" s="12">
        <f t="shared" ref="L232" si="387">L233+L234+L238+L239</f>
        <v>-1033.7586029616764</v>
      </c>
      <c r="M232" s="12">
        <f t="shared" ref="M232" si="388">M233+M234+M238+M239</f>
        <v>3170.0510146770407</v>
      </c>
      <c r="N232" s="12">
        <f t="shared" ref="N232" si="389">N233+N234+N238+N239</f>
        <v>-2625.1876175419693</v>
      </c>
      <c r="O232" s="12">
        <f t="shared" ref="O232" si="390">O233+O234+O238+O239</f>
        <v>296.14887292858015</v>
      </c>
      <c r="P232" s="12">
        <f t="shared" ref="P232" si="391">P233+P234+P238+P239</f>
        <v>5195.3144340791041</v>
      </c>
      <c r="Q232" s="12">
        <f t="shared" ref="Q232" si="392">Q233+Q234+Q238+Q239</f>
        <v>-8260.0134383479199</v>
      </c>
      <c r="R232" s="12">
        <f t="shared" ref="R232" si="393">R233+R234+R238+R239</f>
        <v>-1466.5186220224787</v>
      </c>
      <c r="S232" s="12">
        <f t="shared" ref="S232" si="394">S233+S234+S238+S239</f>
        <v>1234.4994411723296</v>
      </c>
      <c r="T232" s="12">
        <f t="shared" ref="T232" si="395">T233+T234+T238+T239</f>
        <v>3252.3753694624388</v>
      </c>
      <c r="U232" s="12">
        <f t="shared" ref="U232" si="396">U233+U234+U238+U239</f>
        <v>-1084.0110984471301</v>
      </c>
      <c r="V232" s="12">
        <f t="shared" ref="V232" si="397">V233+V234+V238+V239</f>
        <v>771.0126508575612</v>
      </c>
      <c r="W232" s="12">
        <f t="shared" ref="W232:X232" si="398">W233+W234+W238+W239</f>
        <v>-338.03950370297059</v>
      </c>
      <c r="X232" s="12">
        <f t="shared" si="398"/>
        <v>1779.6163464512322</v>
      </c>
      <c r="Y232" s="12">
        <f t="shared" ref="Y232:Z232" si="399">Y233+Y234+Y238+Y239</f>
        <v>1865.9521752437984</v>
      </c>
      <c r="Z232" s="12">
        <f t="shared" si="399"/>
        <v>879.3210280327396</v>
      </c>
      <c r="AA232" s="12">
        <f t="shared" ref="AA232:AB232" si="400">AA233+AA234+AA238+AA239</f>
        <v>3577.5202426011047</v>
      </c>
      <c r="AB232" s="12">
        <f t="shared" si="400"/>
        <v>579.63691253332843</v>
      </c>
      <c r="AC232" s="26"/>
      <c r="AD232" s="26"/>
    </row>
    <row r="233" spans="1:30" x14ac:dyDescent="0.25">
      <c r="A233" s="17">
        <v>230</v>
      </c>
      <c r="D233" s="7" t="s">
        <v>14</v>
      </c>
      <c r="E233" s="7" t="s">
        <v>23</v>
      </c>
      <c r="F233" s="14">
        <v>0</v>
      </c>
      <c r="G233" s="14">
        <v>0</v>
      </c>
      <c r="H233" s="14">
        <v>0</v>
      </c>
      <c r="I233" s="14">
        <v>0</v>
      </c>
      <c r="J233" s="14">
        <v>0</v>
      </c>
      <c r="K233" s="14">
        <v>0</v>
      </c>
      <c r="L233" s="14">
        <v>0</v>
      </c>
      <c r="M233" s="14">
        <v>0</v>
      </c>
      <c r="N233" s="14">
        <v>0</v>
      </c>
      <c r="O233" s="14">
        <v>0</v>
      </c>
      <c r="P233" s="14">
        <v>0</v>
      </c>
      <c r="Q233" s="14">
        <v>0</v>
      </c>
      <c r="R233" s="14">
        <v>0</v>
      </c>
      <c r="S233" s="14">
        <v>0</v>
      </c>
      <c r="T233" s="14">
        <v>0</v>
      </c>
      <c r="U233" s="14">
        <v>0</v>
      </c>
      <c r="V233" s="14">
        <v>0</v>
      </c>
      <c r="W233" s="14">
        <v>0</v>
      </c>
      <c r="X233" s="14">
        <v>0</v>
      </c>
      <c r="Y233" s="14">
        <v>0</v>
      </c>
      <c r="Z233" s="14">
        <v>0</v>
      </c>
      <c r="AA233" s="14">
        <v>0</v>
      </c>
      <c r="AB233" s="14">
        <v>0</v>
      </c>
      <c r="AC233" s="26"/>
      <c r="AD233" s="26"/>
    </row>
    <row r="234" spans="1:30" x14ac:dyDescent="0.25">
      <c r="A234" s="17">
        <v>231</v>
      </c>
      <c r="D234" s="7" t="s">
        <v>15</v>
      </c>
      <c r="E234" s="7" t="s">
        <v>0</v>
      </c>
      <c r="F234" s="14">
        <f>SUM(F235:F237)</f>
        <v>-174.56444115025084</v>
      </c>
      <c r="G234" s="14">
        <f t="shared" ref="G234" si="401">SUM(G235:G237)</f>
        <v>3962.3586210379681</v>
      </c>
      <c r="H234" s="14">
        <f t="shared" ref="H234" si="402">SUM(H235:H237)</f>
        <v>2359.158315125263</v>
      </c>
      <c r="I234" s="14">
        <f t="shared" ref="I234" si="403">SUM(I235:I237)</f>
        <v>-1907.2349986226066</v>
      </c>
      <c r="J234" s="14">
        <f t="shared" ref="J234" si="404">SUM(J235:J237)</f>
        <v>1580.7157045242295</v>
      </c>
      <c r="K234" s="14">
        <f t="shared" ref="K234" si="405">SUM(K235:K237)</f>
        <v>1045.8345062473563</v>
      </c>
      <c r="L234" s="14">
        <f t="shared" ref="L234" si="406">SUM(L235:L237)</f>
        <v>-1033.7586029616764</v>
      </c>
      <c r="M234" s="14">
        <f t="shared" ref="M234" si="407">SUM(M235:M237)</f>
        <v>3170.0510146770407</v>
      </c>
      <c r="N234" s="14">
        <f t="shared" ref="N234" si="408">SUM(N235:N237)</f>
        <v>-2625.1876175419693</v>
      </c>
      <c r="O234" s="14">
        <f t="shared" ref="O234" si="409">SUM(O235:O237)</f>
        <v>296.14887292858015</v>
      </c>
      <c r="P234" s="14">
        <f t="shared" ref="P234" si="410">SUM(P235:P237)</f>
        <v>5195.3144340791041</v>
      </c>
      <c r="Q234" s="14">
        <f t="shared" ref="Q234" si="411">SUM(Q235:Q237)</f>
        <v>-8260.0134383479199</v>
      </c>
      <c r="R234" s="14">
        <f t="shared" ref="R234" si="412">SUM(R235:R237)</f>
        <v>-1466.5186220224787</v>
      </c>
      <c r="S234" s="14">
        <f t="shared" ref="S234" si="413">SUM(S235:S237)</f>
        <v>1234.4994411723296</v>
      </c>
      <c r="T234" s="14">
        <f t="shared" ref="T234" si="414">SUM(T235:T237)</f>
        <v>3252.3753694624388</v>
      </c>
      <c r="U234" s="14">
        <f t="shared" ref="U234" si="415">SUM(U235:U237)</f>
        <v>-1084.0110984471301</v>
      </c>
      <c r="V234" s="14">
        <f t="shared" ref="V234" si="416">SUM(V235:V237)</f>
        <v>771.0126508575612</v>
      </c>
      <c r="W234" s="14">
        <f t="shared" ref="W234:X234" si="417">SUM(W235:W237)</f>
        <v>-338.03950370297059</v>
      </c>
      <c r="X234" s="14">
        <f t="shared" si="417"/>
        <v>1779.6163464512322</v>
      </c>
      <c r="Y234" s="14">
        <f t="shared" ref="Y234:Z234" si="418">SUM(Y235:Y237)</f>
        <v>1865.9521752437984</v>
      </c>
      <c r="Z234" s="14">
        <f t="shared" si="418"/>
        <v>879.3210280327396</v>
      </c>
      <c r="AA234" s="14">
        <f t="shared" ref="AA234:AB234" si="419">SUM(AA235:AA237)</f>
        <v>3577.5202426011047</v>
      </c>
      <c r="AB234" s="14">
        <f t="shared" si="419"/>
        <v>579.63691253332843</v>
      </c>
      <c r="AC234" s="26"/>
      <c r="AD234" s="26"/>
    </row>
    <row r="235" spans="1:30" x14ac:dyDescent="0.25">
      <c r="A235" s="17">
        <v>232</v>
      </c>
      <c r="D235" s="8" t="s">
        <v>26</v>
      </c>
      <c r="E235" s="8" t="s">
        <v>25</v>
      </c>
      <c r="F235" s="15">
        <v>-174.56444115025084</v>
      </c>
      <c r="G235" s="15">
        <v>3962.3586210379681</v>
      </c>
      <c r="H235" s="15">
        <v>2359.158315125263</v>
      </c>
      <c r="I235" s="15">
        <v>-1907.2349986226066</v>
      </c>
      <c r="J235" s="15">
        <v>1580.7157045242295</v>
      </c>
      <c r="K235" s="15">
        <v>1045.8345062473563</v>
      </c>
      <c r="L235" s="15">
        <v>-1033.7586029616764</v>
      </c>
      <c r="M235" s="15">
        <v>3170.0510146770407</v>
      </c>
      <c r="N235" s="15">
        <v>-2625.1876175419693</v>
      </c>
      <c r="O235" s="15">
        <v>296.14887292858015</v>
      </c>
      <c r="P235" s="15">
        <v>5195.3144340791041</v>
      </c>
      <c r="Q235" s="15">
        <v>-8260.0134383479199</v>
      </c>
      <c r="R235" s="15">
        <v>-1466.5186220224787</v>
      </c>
      <c r="S235" s="15">
        <v>1234.4994411723296</v>
      </c>
      <c r="T235" s="15">
        <v>3252.3753694624388</v>
      </c>
      <c r="U235" s="15">
        <v>-1084.0110984471301</v>
      </c>
      <c r="V235" s="15">
        <v>771.0126508575612</v>
      </c>
      <c r="W235" s="15">
        <v>-338.03950370297059</v>
      </c>
      <c r="X235" s="15">
        <v>1779.6163464512322</v>
      </c>
      <c r="Y235" s="15">
        <v>1865.9521752437984</v>
      </c>
      <c r="Z235" s="15">
        <v>879.3210280327396</v>
      </c>
      <c r="AA235" s="15">
        <v>3577.5202426011047</v>
      </c>
      <c r="AB235" s="15">
        <v>579.63691253332843</v>
      </c>
      <c r="AC235" s="26"/>
      <c r="AD235" s="26"/>
    </row>
    <row r="236" spans="1:30" x14ac:dyDescent="0.25">
      <c r="A236" s="17">
        <v>233</v>
      </c>
      <c r="D236" s="8" t="s">
        <v>16</v>
      </c>
      <c r="E236" s="8" t="s">
        <v>27</v>
      </c>
      <c r="F236" s="15">
        <v>0</v>
      </c>
      <c r="G236" s="15">
        <v>0</v>
      </c>
      <c r="H236" s="15">
        <v>0</v>
      </c>
      <c r="I236" s="15">
        <v>0</v>
      </c>
      <c r="J236" s="15">
        <v>0</v>
      </c>
      <c r="K236" s="15">
        <v>0</v>
      </c>
      <c r="L236" s="15">
        <v>0</v>
      </c>
      <c r="M236" s="15">
        <v>0</v>
      </c>
      <c r="N236" s="15">
        <v>0</v>
      </c>
      <c r="O236" s="15">
        <v>0</v>
      </c>
      <c r="P236" s="15">
        <v>0</v>
      </c>
      <c r="Q236" s="15">
        <v>0</v>
      </c>
      <c r="R236" s="15">
        <v>0</v>
      </c>
      <c r="S236" s="15">
        <v>0</v>
      </c>
      <c r="T236" s="15">
        <v>0</v>
      </c>
      <c r="U236" s="15">
        <v>0</v>
      </c>
      <c r="V236" s="15">
        <v>0</v>
      </c>
      <c r="W236" s="15">
        <v>0</v>
      </c>
      <c r="X236" s="15">
        <v>0</v>
      </c>
      <c r="Y236" s="15">
        <v>0</v>
      </c>
      <c r="Z236" s="15">
        <v>0</v>
      </c>
      <c r="AA236" s="15">
        <v>0</v>
      </c>
      <c r="AB236" s="15">
        <v>0</v>
      </c>
      <c r="AC236" s="26"/>
      <c r="AD236" s="26"/>
    </row>
    <row r="237" spans="1:30" x14ac:dyDescent="0.25">
      <c r="A237" s="17">
        <v>234</v>
      </c>
      <c r="D237" s="8" t="s">
        <v>17</v>
      </c>
      <c r="E237" s="8" t="s">
        <v>28</v>
      </c>
      <c r="F237" s="15">
        <v>0</v>
      </c>
      <c r="G237" s="15">
        <v>0</v>
      </c>
      <c r="H237" s="15">
        <v>0</v>
      </c>
      <c r="I237" s="15">
        <v>0</v>
      </c>
      <c r="J237" s="15">
        <v>0</v>
      </c>
      <c r="K237" s="15">
        <v>0</v>
      </c>
      <c r="L237" s="15">
        <v>0</v>
      </c>
      <c r="M237" s="15">
        <v>0</v>
      </c>
      <c r="N237" s="15">
        <v>0</v>
      </c>
      <c r="O237" s="15">
        <v>0</v>
      </c>
      <c r="P237" s="15">
        <v>0</v>
      </c>
      <c r="Q237" s="15">
        <v>0</v>
      </c>
      <c r="R237" s="15">
        <v>0</v>
      </c>
      <c r="S237" s="15">
        <v>0</v>
      </c>
      <c r="T237" s="15">
        <v>0</v>
      </c>
      <c r="U237" s="15">
        <v>0</v>
      </c>
      <c r="V237" s="15">
        <v>0</v>
      </c>
      <c r="W237" s="15">
        <v>0</v>
      </c>
      <c r="X237" s="15">
        <v>0</v>
      </c>
      <c r="Y237" s="15">
        <v>0</v>
      </c>
      <c r="Z237" s="15">
        <v>0</v>
      </c>
      <c r="AA237" s="15">
        <v>0</v>
      </c>
      <c r="AB237" s="15">
        <v>0</v>
      </c>
      <c r="AC237" s="26"/>
      <c r="AD237" s="26"/>
    </row>
    <row r="238" spans="1:30" x14ac:dyDescent="0.25">
      <c r="A238" s="17">
        <v>235</v>
      </c>
      <c r="D238" s="7" t="s">
        <v>18</v>
      </c>
      <c r="E238" s="7" t="s">
        <v>29</v>
      </c>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26"/>
      <c r="AD238" s="26"/>
    </row>
    <row r="239" spans="1:30" x14ac:dyDescent="0.25">
      <c r="A239" s="17">
        <v>236</v>
      </c>
      <c r="D239" s="7" t="s">
        <v>30</v>
      </c>
      <c r="E239" s="7" t="s">
        <v>31</v>
      </c>
      <c r="F239" s="15">
        <v>0</v>
      </c>
      <c r="G239" s="15">
        <v>0</v>
      </c>
      <c r="H239" s="15">
        <v>0</v>
      </c>
      <c r="I239" s="15">
        <v>0</v>
      </c>
      <c r="J239" s="15">
        <v>0</v>
      </c>
      <c r="K239" s="15">
        <v>0</v>
      </c>
      <c r="L239" s="15">
        <v>0</v>
      </c>
      <c r="M239" s="15">
        <v>0</v>
      </c>
      <c r="N239" s="15">
        <v>0</v>
      </c>
      <c r="O239" s="15">
        <v>0</v>
      </c>
      <c r="P239" s="15">
        <v>0</v>
      </c>
      <c r="Q239" s="15">
        <v>0</v>
      </c>
      <c r="R239" s="15">
        <v>0</v>
      </c>
      <c r="S239" s="15">
        <v>0</v>
      </c>
      <c r="T239" s="15">
        <v>0</v>
      </c>
      <c r="U239" s="15">
        <v>0</v>
      </c>
      <c r="V239" s="15">
        <v>0</v>
      </c>
      <c r="W239" s="15">
        <v>0</v>
      </c>
      <c r="X239" s="15">
        <v>0</v>
      </c>
      <c r="Y239" s="15">
        <v>0</v>
      </c>
      <c r="Z239" s="15">
        <v>0</v>
      </c>
      <c r="AA239" s="15">
        <v>0</v>
      </c>
      <c r="AB239" s="15">
        <v>0</v>
      </c>
      <c r="AC239" s="26"/>
      <c r="AD239" s="26"/>
    </row>
    <row r="240" spans="1:30" ht="15.75" x14ac:dyDescent="0.25">
      <c r="A240" s="17">
        <v>237</v>
      </c>
      <c r="D240" s="6" t="s">
        <v>19</v>
      </c>
      <c r="E240" s="6" t="s">
        <v>22</v>
      </c>
      <c r="F240" s="12">
        <v>0</v>
      </c>
      <c r="G240" s="12">
        <v>0</v>
      </c>
      <c r="H240" s="12">
        <v>0</v>
      </c>
      <c r="I240" s="12">
        <v>0</v>
      </c>
      <c r="J240" s="12">
        <v>0</v>
      </c>
      <c r="K240" s="12">
        <v>0</v>
      </c>
      <c r="L240" s="12">
        <v>0</v>
      </c>
      <c r="M240" s="12">
        <v>0</v>
      </c>
      <c r="N240" s="12">
        <v>0</v>
      </c>
      <c r="O240" s="12">
        <v>0</v>
      </c>
      <c r="P240" s="12">
        <v>0</v>
      </c>
      <c r="Q240" s="12">
        <v>0</v>
      </c>
      <c r="R240" s="12">
        <v>0</v>
      </c>
      <c r="S240" s="12">
        <v>0</v>
      </c>
      <c r="T240" s="12">
        <v>0</v>
      </c>
      <c r="U240" s="12">
        <v>0</v>
      </c>
      <c r="V240" s="12">
        <v>0</v>
      </c>
      <c r="W240" s="12">
        <v>0</v>
      </c>
      <c r="X240" s="12">
        <v>0</v>
      </c>
      <c r="Y240" s="12">
        <v>0</v>
      </c>
      <c r="Z240" s="12">
        <v>0</v>
      </c>
      <c r="AA240" s="12">
        <v>0</v>
      </c>
      <c r="AB240" s="12">
        <v>0</v>
      </c>
      <c r="AC240" s="26"/>
      <c r="AD240" s="26"/>
    </row>
    <row r="241" spans="1:30" ht="9" customHeight="1" x14ac:dyDescent="0.25">
      <c r="A241" s="17">
        <v>238</v>
      </c>
      <c r="D241" s="9"/>
      <c r="E241" s="9"/>
      <c r="F241" s="11">
        <v>0</v>
      </c>
      <c r="G241" s="11">
        <v>0</v>
      </c>
      <c r="H241" s="11">
        <v>0</v>
      </c>
      <c r="I241" s="11">
        <v>0</v>
      </c>
      <c r="J241" s="11">
        <v>0</v>
      </c>
      <c r="K241" s="11">
        <v>0</v>
      </c>
      <c r="L241" s="11">
        <v>0</v>
      </c>
      <c r="M241" s="11">
        <v>0</v>
      </c>
      <c r="N241" s="11">
        <v>0</v>
      </c>
      <c r="O241" s="11">
        <v>0</v>
      </c>
      <c r="P241" s="11">
        <v>0</v>
      </c>
      <c r="Q241" s="11">
        <v>0</v>
      </c>
      <c r="R241" s="11">
        <v>0</v>
      </c>
      <c r="S241" s="11">
        <v>0</v>
      </c>
      <c r="T241" s="11">
        <v>0</v>
      </c>
      <c r="U241" s="11">
        <v>0</v>
      </c>
      <c r="V241" s="11">
        <v>0</v>
      </c>
      <c r="W241" s="11">
        <v>0</v>
      </c>
      <c r="X241" s="11">
        <v>0</v>
      </c>
      <c r="Y241" s="11">
        <v>0</v>
      </c>
      <c r="Z241" s="11">
        <v>0</v>
      </c>
      <c r="AA241" s="11">
        <v>0</v>
      </c>
      <c r="AB241" s="11">
        <v>0</v>
      </c>
      <c r="AC241" s="26"/>
      <c r="AD241" s="26"/>
    </row>
    <row r="242" spans="1:30" ht="26.1" customHeight="1" x14ac:dyDescent="0.35">
      <c r="A242" s="17">
        <v>239</v>
      </c>
      <c r="B242" s="3"/>
      <c r="C242" s="5" t="s">
        <v>11</v>
      </c>
      <c r="D242" s="5"/>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26"/>
      <c r="AD242" s="26"/>
    </row>
    <row r="243" spans="1:30" ht="18" customHeight="1" x14ac:dyDescent="0.25">
      <c r="A243" s="17">
        <v>240</v>
      </c>
      <c r="D243" s="6" t="s">
        <v>13</v>
      </c>
      <c r="E243" s="6" t="s">
        <v>35</v>
      </c>
      <c r="F243" s="12">
        <f>F244+F245+F249+F250</f>
        <v>0</v>
      </c>
      <c r="G243" s="12">
        <f t="shared" ref="G243" si="420">G244+G245+G249+G250</f>
        <v>0</v>
      </c>
      <c r="H243" s="12">
        <f t="shared" ref="H243" si="421">H244+H245+H249+H250</f>
        <v>0</v>
      </c>
      <c r="I243" s="12">
        <f t="shared" ref="I243" si="422">I244+I245+I249+I250</f>
        <v>0</v>
      </c>
      <c r="J243" s="12">
        <f t="shared" ref="J243" si="423">J244+J245+J249+J250</f>
        <v>0</v>
      </c>
      <c r="K243" s="12">
        <f t="shared" ref="K243" si="424">K244+K245+K249+K250</f>
        <v>0</v>
      </c>
      <c r="L243" s="12">
        <f t="shared" ref="L243" si="425">L244+L245+L249+L250</f>
        <v>0</v>
      </c>
      <c r="M243" s="12">
        <f t="shared" ref="M243" si="426">M244+M245+M249+M250</f>
        <v>0</v>
      </c>
      <c r="N243" s="12">
        <f t="shared" ref="N243" si="427">N244+N245+N249+N250</f>
        <v>0</v>
      </c>
      <c r="O243" s="12">
        <f t="shared" ref="O243" si="428">O244+O245+O249+O250</f>
        <v>0</v>
      </c>
      <c r="P243" s="12">
        <f t="shared" ref="P243" si="429">P244+P245+P249+P250</f>
        <v>0</v>
      </c>
      <c r="Q243" s="12">
        <f t="shared" ref="Q243" si="430">Q244+Q245+Q249+Q250</f>
        <v>0</v>
      </c>
      <c r="R243" s="12">
        <f t="shared" ref="R243" si="431">R244+R245+R249+R250</f>
        <v>0</v>
      </c>
      <c r="S243" s="12">
        <f t="shared" ref="S243" si="432">S244+S245+S249+S250</f>
        <v>0</v>
      </c>
      <c r="T243" s="12">
        <f t="shared" ref="T243" si="433">T244+T245+T249+T250</f>
        <v>0</v>
      </c>
      <c r="U243" s="12">
        <f t="shared" ref="U243" si="434">U244+U245+U249+U250</f>
        <v>0</v>
      </c>
      <c r="V243" s="12">
        <f t="shared" ref="V243" si="435">V244+V245+V249+V250</f>
        <v>0</v>
      </c>
      <c r="W243" s="12">
        <f t="shared" ref="W243:X243" si="436">W244+W245+W249+W250</f>
        <v>0</v>
      </c>
      <c r="X243" s="12">
        <f t="shared" si="436"/>
        <v>0</v>
      </c>
      <c r="Y243" s="12">
        <f t="shared" ref="Y243:Z243" si="437">Y244+Y245+Y249+Y250</f>
        <v>0</v>
      </c>
      <c r="Z243" s="12">
        <f t="shared" si="437"/>
        <v>0</v>
      </c>
      <c r="AA243" s="12">
        <f t="shared" ref="AA243:AB243" si="438">AA244+AA245+AA249+AA250</f>
        <v>0</v>
      </c>
      <c r="AB243" s="12">
        <f t="shared" si="438"/>
        <v>0</v>
      </c>
      <c r="AC243" s="26"/>
      <c r="AD243" s="26"/>
    </row>
    <row r="244" spans="1:30" x14ac:dyDescent="0.25">
      <c r="A244" s="17">
        <v>241</v>
      </c>
      <c r="D244" s="7" t="s">
        <v>14</v>
      </c>
      <c r="E244" s="7" t="s">
        <v>23</v>
      </c>
      <c r="F244" s="15">
        <v>0</v>
      </c>
      <c r="G244" s="15">
        <v>0</v>
      </c>
      <c r="H244" s="15">
        <v>0</v>
      </c>
      <c r="I244" s="15">
        <v>0</v>
      </c>
      <c r="J244" s="15">
        <v>0</v>
      </c>
      <c r="K244" s="15">
        <v>0</v>
      </c>
      <c r="L244" s="15">
        <v>0</v>
      </c>
      <c r="M244" s="15">
        <v>0</v>
      </c>
      <c r="N244" s="15">
        <v>0</v>
      </c>
      <c r="O244" s="15">
        <v>0</v>
      </c>
      <c r="P244" s="15">
        <v>0</v>
      </c>
      <c r="Q244" s="15">
        <v>0</v>
      </c>
      <c r="R244" s="15">
        <v>0</v>
      </c>
      <c r="S244" s="15">
        <v>0</v>
      </c>
      <c r="T244" s="15">
        <v>0</v>
      </c>
      <c r="U244" s="15">
        <v>0</v>
      </c>
      <c r="V244" s="15">
        <v>0</v>
      </c>
      <c r="W244" s="15">
        <v>0</v>
      </c>
      <c r="X244" s="15">
        <v>0</v>
      </c>
      <c r="Y244" s="15">
        <v>0</v>
      </c>
      <c r="Z244" s="15">
        <v>0</v>
      </c>
      <c r="AA244" s="15">
        <v>0</v>
      </c>
      <c r="AB244" s="15">
        <v>0</v>
      </c>
      <c r="AC244" s="26"/>
      <c r="AD244" s="26"/>
    </row>
    <row r="245" spans="1:30" x14ac:dyDescent="0.25">
      <c r="A245" s="17">
        <v>242</v>
      </c>
      <c r="D245" s="7" t="s">
        <v>15</v>
      </c>
      <c r="E245" s="7" t="s">
        <v>0</v>
      </c>
      <c r="F245" s="14">
        <f>SUM(F246:F248)</f>
        <v>0</v>
      </c>
      <c r="G245" s="14">
        <f t="shared" ref="G245" si="439">SUM(G246:G248)</f>
        <v>0</v>
      </c>
      <c r="H245" s="14">
        <f t="shared" ref="H245" si="440">SUM(H246:H248)</f>
        <v>0</v>
      </c>
      <c r="I245" s="14">
        <f t="shared" ref="I245" si="441">SUM(I246:I248)</f>
        <v>0</v>
      </c>
      <c r="J245" s="14">
        <f t="shared" ref="J245" si="442">SUM(J246:J248)</f>
        <v>0</v>
      </c>
      <c r="K245" s="14">
        <f t="shared" ref="K245" si="443">SUM(K246:K248)</f>
        <v>0</v>
      </c>
      <c r="L245" s="14">
        <f t="shared" ref="L245" si="444">SUM(L246:L248)</f>
        <v>0</v>
      </c>
      <c r="M245" s="14">
        <f t="shared" ref="M245" si="445">SUM(M246:M248)</f>
        <v>0</v>
      </c>
      <c r="N245" s="14">
        <f t="shared" ref="N245" si="446">SUM(N246:N248)</f>
        <v>0</v>
      </c>
      <c r="O245" s="14">
        <f t="shared" ref="O245" si="447">SUM(O246:O248)</f>
        <v>0</v>
      </c>
      <c r="P245" s="14">
        <f t="shared" ref="P245" si="448">SUM(P246:P248)</f>
        <v>0</v>
      </c>
      <c r="Q245" s="14">
        <f t="shared" ref="Q245" si="449">SUM(Q246:Q248)</f>
        <v>0</v>
      </c>
      <c r="R245" s="14">
        <f t="shared" ref="R245" si="450">SUM(R246:R248)</f>
        <v>0</v>
      </c>
      <c r="S245" s="14">
        <f t="shared" ref="S245" si="451">SUM(S246:S248)</f>
        <v>0</v>
      </c>
      <c r="T245" s="14">
        <f t="shared" ref="T245" si="452">SUM(T246:T248)</f>
        <v>0</v>
      </c>
      <c r="U245" s="14">
        <f t="shared" ref="U245" si="453">SUM(U246:U248)</f>
        <v>0</v>
      </c>
      <c r="V245" s="14">
        <f t="shared" ref="V245" si="454">SUM(V246:V248)</f>
        <v>0</v>
      </c>
      <c r="W245" s="14">
        <f t="shared" ref="W245:X245" si="455">SUM(W246:W248)</f>
        <v>0</v>
      </c>
      <c r="X245" s="14">
        <f t="shared" si="455"/>
        <v>0</v>
      </c>
      <c r="Y245" s="14">
        <f t="shared" ref="Y245:Z245" si="456">SUM(Y246:Y248)</f>
        <v>0</v>
      </c>
      <c r="Z245" s="14">
        <f t="shared" si="456"/>
        <v>0</v>
      </c>
      <c r="AA245" s="14">
        <f t="shared" ref="AA245:AB245" si="457">SUM(AA246:AA248)</f>
        <v>0</v>
      </c>
      <c r="AB245" s="14">
        <f t="shared" si="457"/>
        <v>0</v>
      </c>
      <c r="AC245" s="26"/>
      <c r="AD245" s="26"/>
    </row>
    <row r="246" spans="1:30" x14ac:dyDescent="0.25">
      <c r="A246" s="17">
        <v>243</v>
      </c>
      <c r="D246" s="8" t="s">
        <v>26</v>
      </c>
      <c r="E246" s="8" t="s">
        <v>25</v>
      </c>
      <c r="F246" s="15">
        <v>0</v>
      </c>
      <c r="G246" s="15">
        <v>0</v>
      </c>
      <c r="H246" s="15">
        <v>0</v>
      </c>
      <c r="I246" s="15">
        <v>0</v>
      </c>
      <c r="J246" s="15">
        <v>0</v>
      </c>
      <c r="K246" s="15">
        <v>0</v>
      </c>
      <c r="L246" s="15">
        <v>0</v>
      </c>
      <c r="M246" s="15">
        <v>0</v>
      </c>
      <c r="N246" s="15">
        <v>0</v>
      </c>
      <c r="O246" s="15">
        <v>0</v>
      </c>
      <c r="P246" s="15">
        <v>0</v>
      </c>
      <c r="Q246" s="15">
        <v>0</v>
      </c>
      <c r="R246" s="15">
        <v>0</v>
      </c>
      <c r="S246" s="15">
        <v>0</v>
      </c>
      <c r="T246" s="15">
        <v>0</v>
      </c>
      <c r="U246" s="15">
        <v>0</v>
      </c>
      <c r="V246" s="15">
        <v>0</v>
      </c>
      <c r="W246" s="15">
        <v>0</v>
      </c>
      <c r="X246" s="15">
        <v>0</v>
      </c>
      <c r="Y246" s="15">
        <v>0</v>
      </c>
      <c r="Z246" s="15">
        <v>0</v>
      </c>
      <c r="AA246" s="15">
        <v>0</v>
      </c>
      <c r="AB246" s="15">
        <v>0</v>
      </c>
      <c r="AC246" s="26"/>
      <c r="AD246" s="26"/>
    </row>
    <row r="247" spans="1:30" x14ac:dyDescent="0.25">
      <c r="A247" s="17">
        <v>244</v>
      </c>
      <c r="D247" s="8" t="s">
        <v>16</v>
      </c>
      <c r="E247" s="8" t="s">
        <v>27</v>
      </c>
      <c r="F247" s="15">
        <v>0</v>
      </c>
      <c r="G247" s="15">
        <v>0</v>
      </c>
      <c r="H247" s="15">
        <v>0</v>
      </c>
      <c r="I247" s="15">
        <v>0</v>
      </c>
      <c r="J247" s="15">
        <v>0</v>
      </c>
      <c r="K247" s="15">
        <v>0</v>
      </c>
      <c r="L247" s="15">
        <v>0</v>
      </c>
      <c r="M247" s="15">
        <v>0</v>
      </c>
      <c r="N247" s="15">
        <v>0</v>
      </c>
      <c r="O247" s="15">
        <v>0</v>
      </c>
      <c r="P247" s="15">
        <v>0</v>
      </c>
      <c r="Q247" s="15">
        <v>0</v>
      </c>
      <c r="R247" s="15">
        <v>0</v>
      </c>
      <c r="S247" s="15">
        <v>0</v>
      </c>
      <c r="T247" s="15">
        <v>0</v>
      </c>
      <c r="U247" s="15">
        <v>0</v>
      </c>
      <c r="V247" s="15">
        <v>0</v>
      </c>
      <c r="W247" s="15">
        <v>0</v>
      </c>
      <c r="X247" s="15">
        <v>0</v>
      </c>
      <c r="Y247" s="15">
        <v>0</v>
      </c>
      <c r="Z247" s="15">
        <v>0</v>
      </c>
      <c r="AA247" s="15">
        <v>0</v>
      </c>
      <c r="AB247" s="15">
        <v>0</v>
      </c>
      <c r="AC247" s="26"/>
      <c r="AD247" s="26"/>
    </row>
    <row r="248" spans="1:30" x14ac:dyDescent="0.25">
      <c r="A248" s="17">
        <v>245</v>
      </c>
      <c r="D248" s="8" t="s">
        <v>17</v>
      </c>
      <c r="E248" s="8" t="s">
        <v>28</v>
      </c>
      <c r="F248" s="15">
        <v>0</v>
      </c>
      <c r="G248" s="15">
        <v>0</v>
      </c>
      <c r="H248" s="15">
        <v>0</v>
      </c>
      <c r="I248" s="15">
        <v>0</v>
      </c>
      <c r="J248" s="15">
        <v>0</v>
      </c>
      <c r="K248" s="15">
        <v>0</v>
      </c>
      <c r="L248" s="15">
        <v>0</v>
      </c>
      <c r="M248" s="15">
        <v>0</v>
      </c>
      <c r="N248" s="15">
        <v>0</v>
      </c>
      <c r="O248" s="15">
        <v>0</v>
      </c>
      <c r="P248" s="15">
        <v>0</v>
      </c>
      <c r="Q248" s="15">
        <v>0</v>
      </c>
      <c r="R248" s="15">
        <v>0</v>
      </c>
      <c r="S248" s="15">
        <v>0</v>
      </c>
      <c r="T248" s="15">
        <v>0</v>
      </c>
      <c r="U248" s="15">
        <v>0</v>
      </c>
      <c r="V248" s="15">
        <v>0</v>
      </c>
      <c r="W248" s="15">
        <v>0</v>
      </c>
      <c r="X248" s="15">
        <v>0</v>
      </c>
      <c r="Y248" s="15">
        <v>0</v>
      </c>
      <c r="Z248" s="15">
        <v>0</v>
      </c>
      <c r="AA248" s="15">
        <v>0</v>
      </c>
      <c r="AB248" s="15">
        <v>0</v>
      </c>
      <c r="AC248" s="26"/>
      <c r="AD248" s="26"/>
    </row>
    <row r="249" spans="1:30" x14ac:dyDescent="0.25">
      <c r="A249" s="17">
        <v>246</v>
      </c>
      <c r="D249" s="7" t="s">
        <v>1</v>
      </c>
      <c r="E249" s="7" t="s">
        <v>29</v>
      </c>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26"/>
      <c r="AD249" s="26"/>
    </row>
    <row r="250" spans="1:30" x14ac:dyDescent="0.25">
      <c r="A250" s="17">
        <v>247</v>
      </c>
      <c r="D250" s="7" t="s">
        <v>30</v>
      </c>
      <c r="E250" s="7" t="s">
        <v>31</v>
      </c>
      <c r="F250" s="14">
        <v>0</v>
      </c>
      <c r="G250" s="14">
        <v>0</v>
      </c>
      <c r="H250" s="14">
        <v>0</v>
      </c>
      <c r="I250" s="14">
        <v>0</v>
      </c>
      <c r="J250" s="14">
        <v>0</v>
      </c>
      <c r="K250" s="14">
        <v>0</v>
      </c>
      <c r="L250" s="14">
        <v>0</v>
      </c>
      <c r="M250" s="14">
        <v>0</v>
      </c>
      <c r="N250" s="14">
        <v>0</v>
      </c>
      <c r="O250" s="14">
        <v>0</v>
      </c>
      <c r="P250" s="14">
        <v>0</v>
      </c>
      <c r="Q250" s="14">
        <v>0</v>
      </c>
      <c r="R250" s="14">
        <v>0</v>
      </c>
      <c r="S250" s="14">
        <v>0</v>
      </c>
      <c r="T250" s="14">
        <v>0</v>
      </c>
      <c r="U250" s="14">
        <v>0</v>
      </c>
      <c r="V250" s="14">
        <v>0</v>
      </c>
      <c r="W250" s="14">
        <v>0</v>
      </c>
      <c r="X250" s="14">
        <v>0</v>
      </c>
      <c r="Y250" s="14">
        <v>0</v>
      </c>
      <c r="Z250" s="14">
        <v>0</v>
      </c>
      <c r="AA250" s="14">
        <v>0</v>
      </c>
      <c r="AB250" s="14">
        <v>0</v>
      </c>
      <c r="AC250" s="26"/>
      <c r="AD250" s="26"/>
    </row>
    <row r="251" spans="1:30" ht="15.75" x14ac:dyDescent="0.25">
      <c r="A251" s="17">
        <v>248</v>
      </c>
      <c r="D251" s="6" t="s">
        <v>19</v>
      </c>
      <c r="E251" s="6" t="s">
        <v>22</v>
      </c>
      <c r="F251" s="12">
        <v>0</v>
      </c>
      <c r="G251" s="12">
        <v>0</v>
      </c>
      <c r="H251" s="12">
        <v>0</v>
      </c>
      <c r="I251" s="12">
        <v>0</v>
      </c>
      <c r="J251" s="12">
        <v>0</v>
      </c>
      <c r="K251" s="12">
        <v>0</v>
      </c>
      <c r="L251" s="12">
        <v>0</v>
      </c>
      <c r="M251" s="12">
        <v>0</v>
      </c>
      <c r="N251" s="12">
        <v>0</v>
      </c>
      <c r="O251" s="12">
        <v>0</v>
      </c>
      <c r="P251" s="12">
        <v>0</v>
      </c>
      <c r="Q251" s="12">
        <v>0</v>
      </c>
      <c r="R251" s="12">
        <v>0</v>
      </c>
      <c r="S251" s="12">
        <v>0</v>
      </c>
      <c r="T251" s="12">
        <v>0</v>
      </c>
      <c r="U251" s="12">
        <v>0</v>
      </c>
      <c r="V251" s="12">
        <v>0</v>
      </c>
      <c r="W251" s="12">
        <v>0</v>
      </c>
      <c r="X251" s="12">
        <v>0</v>
      </c>
      <c r="Y251" s="12">
        <v>0</v>
      </c>
      <c r="Z251" s="12">
        <v>0</v>
      </c>
      <c r="AA251" s="12">
        <v>0</v>
      </c>
      <c r="AB251" s="12">
        <v>0</v>
      </c>
      <c r="AC251" s="26"/>
      <c r="AD251" s="26"/>
    </row>
    <row r="252" spans="1:30" ht="17.25" customHeight="1" x14ac:dyDescent="0.25">
      <c r="A252" s="17">
        <v>249</v>
      </c>
      <c r="D252" s="9"/>
      <c r="E252" s="9"/>
      <c r="F252" s="11">
        <v>0</v>
      </c>
      <c r="G252" s="11">
        <v>0</v>
      </c>
      <c r="H252" s="11">
        <v>0</v>
      </c>
      <c r="I252" s="11">
        <v>0</v>
      </c>
      <c r="J252" s="11">
        <v>0</v>
      </c>
      <c r="K252" s="11">
        <v>0</v>
      </c>
      <c r="L252" s="11">
        <v>0</v>
      </c>
      <c r="M252" s="11">
        <v>0</v>
      </c>
      <c r="N252" s="11">
        <v>0</v>
      </c>
      <c r="O252" s="11">
        <v>0</v>
      </c>
      <c r="P252" s="11">
        <v>0</v>
      </c>
      <c r="Q252" s="11">
        <v>0</v>
      </c>
      <c r="R252" s="11">
        <v>0</v>
      </c>
      <c r="S252" s="11">
        <v>0</v>
      </c>
      <c r="T252" s="11">
        <v>0</v>
      </c>
      <c r="U252" s="11">
        <v>0</v>
      </c>
      <c r="V252" s="11">
        <v>0</v>
      </c>
      <c r="W252" s="11">
        <v>0</v>
      </c>
      <c r="X252" s="11">
        <v>0</v>
      </c>
      <c r="Y252" s="11">
        <v>0</v>
      </c>
      <c r="Z252" s="11">
        <v>0</v>
      </c>
      <c r="AA252" s="11">
        <v>0</v>
      </c>
      <c r="AB252" s="11">
        <v>0</v>
      </c>
      <c r="AC252" s="26"/>
      <c r="AD252" s="26"/>
    </row>
    <row r="253" spans="1:30" ht="26.1" customHeight="1" x14ac:dyDescent="0.35">
      <c r="A253" s="17">
        <v>250</v>
      </c>
      <c r="B253" s="3"/>
      <c r="C253" s="5" t="s">
        <v>6</v>
      </c>
      <c r="D253" s="5"/>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26"/>
      <c r="AD253" s="26"/>
    </row>
    <row r="254" spans="1:30" ht="18" customHeight="1" x14ac:dyDescent="0.25">
      <c r="A254" s="17">
        <v>251</v>
      </c>
      <c r="D254" s="6" t="s">
        <v>13</v>
      </c>
      <c r="E254" s="6" t="s">
        <v>35</v>
      </c>
      <c r="F254" s="12">
        <f>F255+F256+F260+F261</f>
        <v>189.65970477850695</v>
      </c>
      <c r="G254" s="12">
        <f t="shared" ref="G254" si="458">G255+G256+G260+G261</f>
        <v>269.39857083084377</v>
      </c>
      <c r="H254" s="12">
        <f t="shared" ref="H254" si="459">H255+H256+H260+H261</f>
        <v>236.81549701477459</v>
      </c>
      <c r="I254" s="12">
        <f t="shared" ref="I254" si="460">I255+I256+I260+I261</f>
        <v>175.55163742438444</v>
      </c>
      <c r="J254" s="12">
        <f t="shared" ref="J254" si="461">J255+J256+J260+J261</f>
        <v>414.89391899890387</v>
      </c>
      <c r="K254" s="12">
        <f t="shared" ref="K254" si="462">K255+K256+K260+K261</f>
        <v>421.17229409534866</v>
      </c>
      <c r="L254" s="12">
        <f t="shared" ref="L254" si="463">L255+L256+L260+L261</f>
        <v>455.43964273498199</v>
      </c>
      <c r="M254" s="12">
        <f t="shared" ref="M254" si="464">M255+M256+M260+M261</f>
        <v>474.60898118461034</v>
      </c>
      <c r="N254" s="12">
        <f t="shared" ref="N254" si="465">N255+N256+N260+N261</f>
        <v>1203.8163733087295</v>
      </c>
      <c r="O254" s="12">
        <f t="shared" ref="O254" si="466">O255+O256+O260+O261</f>
        <v>1243.1312580057611</v>
      </c>
      <c r="P254" s="12">
        <f t="shared" ref="P254" si="467">P255+P256+P260+P261</f>
        <v>1279.8112880208546</v>
      </c>
      <c r="Q254" s="12">
        <f t="shared" ref="Q254" si="468">Q255+Q256+Q260+Q261</f>
        <v>1106.6691746389702</v>
      </c>
      <c r="R254" s="12">
        <f t="shared" ref="R254" si="469">R255+R256+R260+R261</f>
        <v>-389.22219556652175</v>
      </c>
      <c r="S254" s="12">
        <f t="shared" ref="S254" si="470">S255+S256+S260+S261</f>
        <v>-410.91240516695103</v>
      </c>
      <c r="T254" s="12">
        <f t="shared" ref="T254" si="471">T255+T256+T260+T261</f>
        <v>-324.48462765929025</v>
      </c>
      <c r="U254" s="12">
        <f t="shared" ref="U254" si="472">U255+U256+U260+U261</f>
        <v>-432.09805674926662</v>
      </c>
      <c r="V254" s="12">
        <f t="shared" ref="V254" si="473">V255+V256+V260+V261</f>
        <v>470.41134260181963</v>
      </c>
      <c r="W254" s="12">
        <f t="shared" ref="W254:X254" si="474">W255+W256+W260+W261</f>
        <v>434.04538542627421</v>
      </c>
      <c r="X254" s="12">
        <f t="shared" si="474"/>
        <v>443.87504820096285</v>
      </c>
      <c r="Y254" s="12">
        <f t="shared" ref="Y254:Z254" si="475">Y255+Y256+Y260+Y261</f>
        <v>458.19259155360629</v>
      </c>
      <c r="Z254" s="12">
        <f t="shared" si="475"/>
        <v>-776.75601393269631</v>
      </c>
      <c r="AA254" s="12">
        <f t="shared" ref="AA254:AB254" si="476">AA255+AA256+AA260+AA261</f>
        <v>-7.7589125147851519</v>
      </c>
      <c r="AB254" s="12">
        <f t="shared" si="476"/>
        <v>64.192516715045087</v>
      </c>
      <c r="AC254" s="26"/>
      <c r="AD254" s="26"/>
    </row>
    <row r="255" spans="1:30" x14ac:dyDescent="0.25">
      <c r="A255" s="17">
        <v>252</v>
      </c>
      <c r="D255" s="7" t="s">
        <v>14</v>
      </c>
      <c r="E255" s="7" t="s">
        <v>23</v>
      </c>
      <c r="F255" s="14">
        <v>230.94014800000014</v>
      </c>
      <c r="G255" s="14">
        <v>102.93546499999866</v>
      </c>
      <c r="H255" s="14">
        <v>120.77167499999814</v>
      </c>
      <c r="I255" s="14">
        <v>68.384745000000976</v>
      </c>
      <c r="J255" s="14">
        <v>93.032683000003544</v>
      </c>
      <c r="K255" s="14">
        <v>-142.06719110351628</v>
      </c>
      <c r="L255" s="14">
        <v>-24.00944514554908</v>
      </c>
      <c r="M255" s="14">
        <v>173.80336324906705</v>
      </c>
      <c r="N255" s="14">
        <v>942.12847367085453</v>
      </c>
      <c r="O255" s="14">
        <v>1198.3345978748218</v>
      </c>
      <c r="P255" s="14">
        <v>857.73144126283864</v>
      </c>
      <c r="Q255" s="14">
        <v>1108.4508532829375</v>
      </c>
      <c r="R255" s="14">
        <v>-653.8023562729386</v>
      </c>
      <c r="S255" s="14">
        <v>-421.3399842228398</v>
      </c>
      <c r="T255" s="14">
        <v>-466.72489725284458</v>
      </c>
      <c r="U255" s="14">
        <v>-349.32505364283389</v>
      </c>
      <c r="V255" s="14">
        <v>517.0335005848458</v>
      </c>
      <c r="W255" s="14">
        <v>513.88256807484743</v>
      </c>
      <c r="X255" s="14">
        <v>369.51354145484618</v>
      </c>
      <c r="Y255" s="14">
        <v>466.61508835484972</v>
      </c>
      <c r="Z255" s="14">
        <v>-940.08217473449758</v>
      </c>
      <c r="AA255" s="14">
        <v>386.27265259378407</v>
      </c>
      <c r="AB255" s="14">
        <v>-55.366179389690501</v>
      </c>
      <c r="AC255" s="26"/>
      <c r="AD255" s="26"/>
    </row>
    <row r="256" spans="1:30" x14ac:dyDescent="0.25">
      <c r="A256" s="17">
        <v>253</v>
      </c>
      <c r="D256" s="7" t="s">
        <v>15</v>
      </c>
      <c r="E256" s="7" t="s">
        <v>0</v>
      </c>
      <c r="F256" s="14">
        <f>SUM(F257:F259)</f>
        <v>-41.280443221493194</v>
      </c>
      <c r="G256" s="14">
        <f t="shared" ref="G256" si="477">SUM(G257:G259)</f>
        <v>166.46310583084511</v>
      </c>
      <c r="H256" s="14">
        <f t="shared" ref="H256" si="478">SUM(H257:H259)</f>
        <v>116.04382201477645</v>
      </c>
      <c r="I256" s="14">
        <f t="shared" ref="I256" si="479">SUM(I257:I259)</f>
        <v>107.16689242438346</v>
      </c>
      <c r="J256" s="14">
        <f t="shared" ref="J256" si="480">SUM(J257:J259)</f>
        <v>321.86123599890033</v>
      </c>
      <c r="K256" s="14">
        <f t="shared" ref="K256" si="481">SUM(K257:K259)</f>
        <v>563.23948519886494</v>
      </c>
      <c r="L256" s="14">
        <f t="shared" ref="L256" si="482">SUM(L257:L259)</f>
        <v>479.44908788053107</v>
      </c>
      <c r="M256" s="14">
        <f t="shared" ref="M256" si="483">SUM(M257:M259)</f>
        <v>300.8056179355433</v>
      </c>
      <c r="N256" s="14">
        <f t="shared" ref="N256" si="484">SUM(N257:N259)</f>
        <v>261.68789963787498</v>
      </c>
      <c r="O256" s="14">
        <f t="shared" ref="O256" si="485">SUM(O257:O259)</f>
        <v>44.796660130939188</v>
      </c>
      <c r="P256" s="14">
        <f t="shared" ref="P256" si="486">SUM(P257:P259)</f>
        <v>422.07984675801589</v>
      </c>
      <c r="Q256" s="14">
        <f t="shared" ref="Q256" si="487">SUM(Q257:Q259)</f>
        <v>-1.781678643967435</v>
      </c>
      <c r="R256" s="14">
        <f t="shared" ref="R256" si="488">SUM(R257:R259)</f>
        <v>264.58016070641685</v>
      </c>
      <c r="S256" s="14">
        <f t="shared" ref="S256" si="489">SUM(S257:S259)</f>
        <v>10.427579055888767</v>
      </c>
      <c r="T256" s="14">
        <f t="shared" ref="T256" si="490">SUM(T257:T259)</f>
        <v>142.24026959355433</v>
      </c>
      <c r="U256" s="14">
        <f t="shared" ref="U256" si="491">SUM(U257:U259)</f>
        <v>-82.773003106432725</v>
      </c>
      <c r="V256" s="14">
        <f t="shared" ref="V256" si="492">SUM(V257:V259)</f>
        <v>-46.622157983026177</v>
      </c>
      <c r="W256" s="14">
        <f t="shared" ref="W256:X256" si="493">SUM(W257:W259)</f>
        <v>-79.837182648573219</v>
      </c>
      <c r="X256" s="14">
        <f t="shared" si="493"/>
        <v>74.361506746116675</v>
      </c>
      <c r="Y256" s="14">
        <f t="shared" ref="Y256:Z256" si="494">SUM(Y257:Y259)</f>
        <v>-8.4224968012434243</v>
      </c>
      <c r="Z256" s="14">
        <f t="shared" si="494"/>
        <v>163.32616080180134</v>
      </c>
      <c r="AA256" s="14">
        <f t="shared" ref="AA256:AB256" si="495">SUM(AA257:AA259)</f>
        <v>-394.03156510856923</v>
      </c>
      <c r="AB256" s="14">
        <f t="shared" si="495"/>
        <v>119.55869610473559</v>
      </c>
      <c r="AC256" s="26"/>
      <c r="AD256" s="26"/>
    </row>
    <row r="257" spans="1:30" x14ac:dyDescent="0.25">
      <c r="A257" s="17">
        <v>254</v>
      </c>
      <c r="D257" s="8" t="s">
        <v>26</v>
      </c>
      <c r="E257" s="8" t="s">
        <v>25</v>
      </c>
      <c r="F257" s="15">
        <v>-41.280443221493194</v>
      </c>
      <c r="G257" s="15">
        <v>166.46310583084511</v>
      </c>
      <c r="H257" s="15">
        <v>116.04382201477645</v>
      </c>
      <c r="I257" s="15">
        <v>107.16689242438346</v>
      </c>
      <c r="J257" s="15">
        <v>321.86123599890033</v>
      </c>
      <c r="K257" s="15">
        <v>563.23948519886494</v>
      </c>
      <c r="L257" s="15">
        <v>479.44908788053107</v>
      </c>
      <c r="M257" s="15">
        <v>300.8056179355433</v>
      </c>
      <c r="N257" s="15">
        <v>261.68789963787498</v>
      </c>
      <c r="O257" s="15">
        <v>44.796660130939188</v>
      </c>
      <c r="P257" s="15">
        <v>421.58684075801591</v>
      </c>
      <c r="Q257" s="15">
        <v>-1.288672643967435</v>
      </c>
      <c r="R257" s="15">
        <v>264.58016070641685</v>
      </c>
      <c r="S257" s="15">
        <v>6.927579055888768</v>
      </c>
      <c r="T257" s="15">
        <v>145.74026959355433</v>
      </c>
      <c r="U257" s="15">
        <v>-86.866103106432718</v>
      </c>
      <c r="V257" s="15">
        <v>-42.529057983026178</v>
      </c>
      <c r="W257" s="15">
        <v>-79.837182648573219</v>
      </c>
      <c r="X257" s="15">
        <v>74.361506746116675</v>
      </c>
      <c r="Y257" s="15">
        <v>-8.4224968012434243</v>
      </c>
      <c r="Z257" s="15">
        <v>163.32616080180134</v>
      </c>
      <c r="AA257" s="15">
        <v>-394.03156510856923</v>
      </c>
      <c r="AB257" s="15">
        <v>119.55869610473559</v>
      </c>
      <c r="AC257" s="26"/>
      <c r="AD257" s="26"/>
    </row>
    <row r="258" spans="1:30" x14ac:dyDescent="0.25">
      <c r="A258" s="17">
        <v>255</v>
      </c>
      <c r="D258" s="8" t="s">
        <v>16</v>
      </c>
      <c r="E258" s="8" t="s">
        <v>27</v>
      </c>
      <c r="F258" s="15">
        <v>0</v>
      </c>
      <c r="G258" s="15">
        <v>0</v>
      </c>
      <c r="H258" s="15">
        <v>0</v>
      </c>
      <c r="I258" s="15">
        <v>0</v>
      </c>
      <c r="J258" s="15">
        <v>0</v>
      </c>
      <c r="K258" s="15">
        <v>0</v>
      </c>
      <c r="L258" s="15">
        <v>0</v>
      </c>
      <c r="M258" s="15">
        <v>0</v>
      </c>
      <c r="N258" s="15">
        <v>0</v>
      </c>
      <c r="O258" s="15">
        <v>0</v>
      </c>
      <c r="P258" s="15">
        <v>0.493006</v>
      </c>
      <c r="Q258" s="15">
        <v>-0.493006</v>
      </c>
      <c r="R258" s="15">
        <v>0</v>
      </c>
      <c r="S258" s="15">
        <v>3.5</v>
      </c>
      <c r="T258" s="15">
        <v>-3.5</v>
      </c>
      <c r="U258" s="15">
        <v>4.0930999999999997</v>
      </c>
      <c r="V258" s="15">
        <v>-4.0930999999999997</v>
      </c>
      <c r="W258" s="15">
        <v>0</v>
      </c>
      <c r="X258" s="15">
        <v>0</v>
      </c>
      <c r="Y258" s="15">
        <v>0</v>
      </c>
      <c r="Z258" s="15">
        <v>0</v>
      </c>
      <c r="AA258" s="15">
        <v>0</v>
      </c>
      <c r="AB258" s="15">
        <v>0</v>
      </c>
      <c r="AC258" s="26"/>
      <c r="AD258" s="26"/>
    </row>
    <row r="259" spans="1:30" x14ac:dyDescent="0.25">
      <c r="A259" s="17">
        <v>256</v>
      </c>
      <c r="D259" s="8" t="s">
        <v>17</v>
      </c>
      <c r="E259" s="8" t="s">
        <v>28</v>
      </c>
      <c r="F259" s="15">
        <v>0</v>
      </c>
      <c r="G259" s="15">
        <v>0</v>
      </c>
      <c r="H259" s="15">
        <v>0</v>
      </c>
      <c r="I259" s="15">
        <v>0</v>
      </c>
      <c r="J259" s="15">
        <v>0</v>
      </c>
      <c r="K259" s="15">
        <v>0</v>
      </c>
      <c r="L259" s="15">
        <v>0</v>
      </c>
      <c r="M259" s="15">
        <v>0</v>
      </c>
      <c r="N259" s="15">
        <v>0</v>
      </c>
      <c r="O259" s="15">
        <v>0</v>
      </c>
      <c r="P259" s="15">
        <v>0</v>
      </c>
      <c r="Q259" s="15">
        <v>0</v>
      </c>
      <c r="R259" s="15">
        <v>0</v>
      </c>
      <c r="S259" s="15">
        <v>0</v>
      </c>
      <c r="T259" s="15">
        <v>0</v>
      </c>
      <c r="U259" s="15">
        <v>0</v>
      </c>
      <c r="V259" s="15">
        <v>0</v>
      </c>
      <c r="W259" s="15">
        <v>0</v>
      </c>
      <c r="X259" s="15">
        <v>0</v>
      </c>
      <c r="Y259" s="15">
        <v>0</v>
      </c>
      <c r="Z259" s="15">
        <v>0</v>
      </c>
      <c r="AA259" s="15">
        <v>0</v>
      </c>
      <c r="AB259" s="15">
        <v>0</v>
      </c>
      <c r="AC259" s="26"/>
      <c r="AD259" s="26"/>
    </row>
    <row r="260" spans="1:30" x14ac:dyDescent="0.25">
      <c r="A260" s="17">
        <v>257</v>
      </c>
      <c r="D260" s="7" t="s">
        <v>1</v>
      </c>
      <c r="E260" s="7" t="s">
        <v>29</v>
      </c>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26"/>
      <c r="AD260" s="26"/>
    </row>
    <row r="261" spans="1:30" x14ac:dyDescent="0.25">
      <c r="A261" s="17">
        <v>258</v>
      </c>
      <c r="D261" s="7" t="s">
        <v>30</v>
      </c>
      <c r="E261" s="7" t="s">
        <v>31</v>
      </c>
      <c r="F261" s="14">
        <v>0</v>
      </c>
      <c r="G261" s="14">
        <v>0</v>
      </c>
      <c r="H261" s="14">
        <v>0</v>
      </c>
      <c r="I261" s="14">
        <v>0</v>
      </c>
      <c r="J261" s="14">
        <v>0</v>
      </c>
      <c r="K261" s="14">
        <v>0</v>
      </c>
      <c r="L261" s="14">
        <v>0</v>
      </c>
      <c r="M261" s="14">
        <v>0</v>
      </c>
      <c r="N261" s="14">
        <v>0</v>
      </c>
      <c r="O261" s="14">
        <v>0</v>
      </c>
      <c r="P261" s="14">
        <v>0</v>
      </c>
      <c r="Q261" s="14">
        <v>0</v>
      </c>
      <c r="R261" s="14">
        <v>0</v>
      </c>
      <c r="S261" s="14">
        <v>0</v>
      </c>
      <c r="T261" s="14">
        <v>0</v>
      </c>
      <c r="U261" s="14">
        <v>0</v>
      </c>
      <c r="V261" s="14">
        <v>0</v>
      </c>
      <c r="W261" s="14">
        <v>0</v>
      </c>
      <c r="X261" s="14">
        <v>0</v>
      </c>
      <c r="Y261" s="14">
        <v>0</v>
      </c>
      <c r="Z261" s="14">
        <v>0</v>
      </c>
      <c r="AA261" s="14">
        <v>0</v>
      </c>
      <c r="AB261" s="14">
        <v>0</v>
      </c>
      <c r="AC261" s="26"/>
      <c r="AD261" s="26"/>
    </row>
    <row r="262" spans="1:30" ht="15.75" x14ac:dyDescent="0.25">
      <c r="A262" s="17">
        <v>259</v>
      </c>
      <c r="D262" s="6" t="s">
        <v>19</v>
      </c>
      <c r="E262" s="6" t="s">
        <v>22</v>
      </c>
      <c r="F262" s="12">
        <v>0</v>
      </c>
      <c r="G262" s="12">
        <v>0</v>
      </c>
      <c r="H262" s="12">
        <v>0</v>
      </c>
      <c r="I262" s="12">
        <v>0</v>
      </c>
      <c r="J262" s="12">
        <v>0</v>
      </c>
      <c r="K262" s="12">
        <v>0</v>
      </c>
      <c r="L262" s="12">
        <v>0</v>
      </c>
      <c r="M262" s="12">
        <v>0</v>
      </c>
      <c r="N262" s="12">
        <v>0</v>
      </c>
      <c r="O262" s="12">
        <v>0</v>
      </c>
      <c r="P262" s="12">
        <v>0</v>
      </c>
      <c r="Q262" s="12">
        <v>0</v>
      </c>
      <c r="R262" s="12">
        <v>0</v>
      </c>
      <c r="S262" s="12">
        <v>0</v>
      </c>
      <c r="T262" s="12">
        <v>0</v>
      </c>
      <c r="U262" s="12">
        <v>0</v>
      </c>
      <c r="V262" s="12">
        <v>0</v>
      </c>
      <c r="W262" s="12">
        <v>0</v>
      </c>
      <c r="X262" s="12">
        <v>0</v>
      </c>
      <c r="Y262" s="12">
        <v>0</v>
      </c>
      <c r="Z262" s="12">
        <v>0</v>
      </c>
      <c r="AA262" s="12">
        <v>0</v>
      </c>
      <c r="AB262" s="12">
        <v>0</v>
      </c>
      <c r="AC262" s="26"/>
      <c r="AD262" s="26"/>
    </row>
    <row r="263" spans="1:30" ht="9" customHeight="1" x14ac:dyDescent="0.25">
      <c r="A263" s="17">
        <v>260</v>
      </c>
      <c r="D263" s="9"/>
      <c r="E263" s="9"/>
      <c r="F263" s="11">
        <v>0</v>
      </c>
      <c r="G263" s="11">
        <v>0</v>
      </c>
      <c r="H263" s="11">
        <v>0</v>
      </c>
      <c r="I263" s="11">
        <v>0</v>
      </c>
      <c r="J263" s="11">
        <v>0</v>
      </c>
      <c r="K263" s="11">
        <v>0</v>
      </c>
      <c r="L263" s="11">
        <v>0</v>
      </c>
      <c r="M263" s="11">
        <v>0</v>
      </c>
      <c r="N263" s="11">
        <v>0</v>
      </c>
      <c r="O263" s="11">
        <v>0</v>
      </c>
      <c r="P263" s="11">
        <v>0</v>
      </c>
      <c r="Q263" s="11">
        <v>0</v>
      </c>
      <c r="R263" s="11">
        <v>0</v>
      </c>
      <c r="S263" s="11">
        <v>0</v>
      </c>
      <c r="T263" s="11">
        <v>0</v>
      </c>
      <c r="U263" s="11">
        <v>0</v>
      </c>
      <c r="V263" s="11">
        <v>0</v>
      </c>
      <c r="W263" s="11">
        <v>0</v>
      </c>
      <c r="X263" s="11">
        <v>0</v>
      </c>
      <c r="Y263" s="11">
        <v>0</v>
      </c>
      <c r="Z263" s="11">
        <v>0</v>
      </c>
      <c r="AA263" s="11">
        <v>0</v>
      </c>
      <c r="AB263" s="11">
        <v>0</v>
      </c>
      <c r="AC263" s="26"/>
      <c r="AD263" s="26"/>
    </row>
    <row r="264" spans="1:30" ht="26.1" customHeight="1" x14ac:dyDescent="0.35">
      <c r="A264" s="17">
        <v>261</v>
      </c>
      <c r="B264" s="3"/>
      <c r="C264" s="5" t="s">
        <v>24</v>
      </c>
      <c r="D264" s="5"/>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26"/>
      <c r="AD264" s="26"/>
    </row>
    <row r="265" spans="1:30" ht="18" customHeight="1" x14ac:dyDescent="0.25">
      <c r="A265" s="17">
        <v>262</v>
      </c>
      <c r="D265" s="6" t="s">
        <v>13</v>
      </c>
      <c r="E265" s="6" t="s">
        <v>35</v>
      </c>
      <c r="F265" s="12">
        <f>F266+F267+F271+F272</f>
        <v>-676.91502230664992</v>
      </c>
      <c r="G265" s="12">
        <f t="shared" ref="G265" si="496">G266+G267+G271+G272</f>
        <v>-535.78750385161766</v>
      </c>
      <c r="H265" s="12">
        <f t="shared" ref="H265" si="497">H266+H267+H271+H272</f>
        <v>-537.40662340140625</v>
      </c>
      <c r="I265" s="12">
        <f t="shared" ref="I265" si="498">I266+I267+I271+I272</f>
        <v>-538.97120304324108</v>
      </c>
      <c r="J265" s="12">
        <f t="shared" ref="J265" si="499">J266+J267+J271+J272</f>
        <v>-11.292417881384608</v>
      </c>
      <c r="K265" s="12">
        <f t="shared" ref="K265" si="500">K266+K267+K271+K272</f>
        <v>-7.8308189266108457</v>
      </c>
      <c r="L265" s="12">
        <f t="shared" ref="L265" si="501">L266+L267+L271+L272</f>
        <v>-4.659015247071693</v>
      </c>
      <c r="M265" s="12">
        <f t="shared" ref="M265" si="502">M266+M267+M271+M272</f>
        <v>-1.7455372370231999</v>
      </c>
      <c r="N265" s="12">
        <f t="shared" ref="N265" si="503">N266+N267+N271+N272</f>
        <v>492.45340322480297</v>
      </c>
      <c r="O265" s="12">
        <f t="shared" ref="O265" si="504">O266+O267+O271+O272</f>
        <v>492.78977617695637</v>
      </c>
      <c r="P265" s="12">
        <f t="shared" ref="P265" si="505">P266+P267+P271+P272</f>
        <v>493.08839029713454</v>
      </c>
      <c r="Q265" s="12">
        <f t="shared" ref="Q265" si="506">Q266+Q267+Q271+Q272</f>
        <v>493.3546931344008</v>
      </c>
      <c r="R265" s="12">
        <f t="shared" ref="R265" si="507">R266+R267+R271+R272</f>
        <v>544.05668022717691</v>
      </c>
      <c r="S265" s="12">
        <f t="shared" ref="S265" si="508">S266+S267+S271+S272</f>
        <v>514.49718782451237</v>
      </c>
      <c r="T265" s="12">
        <f t="shared" ref="T265" si="509">T266+T267+T271+T272</f>
        <v>486.78403283790612</v>
      </c>
      <c r="U265" s="12">
        <f t="shared" ref="U265" si="510">U266+U267+U271+U272</f>
        <v>460.76658422247237</v>
      </c>
      <c r="V265" s="12">
        <f t="shared" ref="V265" si="511">V266+V267+V271+V272</f>
        <v>-248.30978320167924</v>
      </c>
      <c r="W265" s="12">
        <f t="shared" ref="W265:X265" si="512">W266+W267+W271+W272</f>
        <v>-237.61134396686975</v>
      </c>
      <c r="X265" s="12">
        <f t="shared" si="512"/>
        <v>-227.58973820211395</v>
      </c>
      <c r="Y265" s="12">
        <f t="shared" ref="Y265:Z265" si="513">Y266+Y267+Y271+Y272</f>
        <v>-218.18905214775259</v>
      </c>
      <c r="Z265" s="12">
        <f t="shared" si="513"/>
        <v>661.67962818256092</v>
      </c>
      <c r="AA265" s="12">
        <f t="shared" ref="AA265:AB265" si="514">AA266+AA267+AA271+AA272</f>
        <v>90.375108951609946</v>
      </c>
      <c r="AB265" s="12">
        <f t="shared" si="514"/>
        <v>85.167258619670974</v>
      </c>
      <c r="AC265" s="26"/>
      <c r="AD265" s="26"/>
    </row>
    <row r="266" spans="1:30" x14ac:dyDescent="0.25">
      <c r="A266" s="17">
        <v>263</v>
      </c>
      <c r="D266" s="7" t="s">
        <v>14</v>
      </c>
      <c r="E266" s="7" t="s">
        <v>23</v>
      </c>
      <c r="F266" s="15">
        <v>-676.91502230664992</v>
      </c>
      <c r="G266" s="15">
        <v>-535.78750385161766</v>
      </c>
      <c r="H266" s="15">
        <v>-537.40662340140625</v>
      </c>
      <c r="I266" s="15">
        <v>-538.97120304324108</v>
      </c>
      <c r="J266" s="15">
        <v>-11.292417881384608</v>
      </c>
      <c r="K266" s="15">
        <v>-7.8308189266108457</v>
      </c>
      <c r="L266" s="15">
        <v>-4.659015247071693</v>
      </c>
      <c r="M266" s="15">
        <v>-1.7455372370231999</v>
      </c>
      <c r="N266" s="15">
        <v>492.45340322480297</v>
      </c>
      <c r="O266" s="15">
        <v>492.78977617695637</v>
      </c>
      <c r="P266" s="15">
        <v>493.08839029713454</v>
      </c>
      <c r="Q266" s="15">
        <v>493.3546931344008</v>
      </c>
      <c r="R266" s="15">
        <v>544.05668022717691</v>
      </c>
      <c r="S266" s="15">
        <v>514.49718782451237</v>
      </c>
      <c r="T266" s="15">
        <v>486.78403283790612</v>
      </c>
      <c r="U266" s="15">
        <v>460.76658422247237</v>
      </c>
      <c r="V266" s="15">
        <v>-248.30978320167924</v>
      </c>
      <c r="W266" s="15">
        <v>-237.61134396686975</v>
      </c>
      <c r="X266" s="15">
        <v>-227.58973820211395</v>
      </c>
      <c r="Y266" s="15">
        <v>-218.18905214775259</v>
      </c>
      <c r="Z266" s="15">
        <v>661.67962818256092</v>
      </c>
      <c r="AA266" s="15">
        <v>90.375108951609946</v>
      </c>
      <c r="AB266" s="15">
        <v>85.167258619670974</v>
      </c>
      <c r="AC266" s="26"/>
      <c r="AD266" s="26"/>
    </row>
    <row r="267" spans="1:30" x14ac:dyDescent="0.25">
      <c r="A267" s="17">
        <v>264</v>
      </c>
      <c r="D267" s="7" t="s">
        <v>15</v>
      </c>
      <c r="E267" s="7" t="s">
        <v>0</v>
      </c>
      <c r="F267" s="14">
        <f>SUM(F268:F270)</f>
        <v>0</v>
      </c>
      <c r="G267" s="14">
        <f t="shared" ref="G267" si="515">SUM(G268:G270)</f>
        <v>0</v>
      </c>
      <c r="H267" s="14">
        <f t="shared" ref="H267" si="516">SUM(H268:H270)</f>
        <v>0</v>
      </c>
      <c r="I267" s="14">
        <f t="shared" ref="I267" si="517">SUM(I268:I270)</f>
        <v>0</v>
      </c>
      <c r="J267" s="14">
        <f t="shared" ref="J267" si="518">SUM(J268:J270)</f>
        <v>0</v>
      </c>
      <c r="K267" s="14">
        <f t="shared" ref="K267" si="519">SUM(K268:K270)</f>
        <v>0</v>
      </c>
      <c r="L267" s="14">
        <f t="shared" ref="L267" si="520">SUM(L268:L270)</f>
        <v>0</v>
      </c>
      <c r="M267" s="14">
        <f t="shared" ref="M267" si="521">SUM(M268:M270)</f>
        <v>0</v>
      </c>
      <c r="N267" s="14">
        <f t="shared" ref="N267" si="522">SUM(N268:N270)</f>
        <v>0</v>
      </c>
      <c r="O267" s="14">
        <f t="shared" ref="O267" si="523">SUM(O268:O270)</f>
        <v>0</v>
      </c>
      <c r="P267" s="14">
        <f t="shared" ref="P267" si="524">SUM(P268:P270)</f>
        <v>0</v>
      </c>
      <c r="Q267" s="14">
        <f t="shared" ref="Q267" si="525">SUM(Q268:Q270)</f>
        <v>0</v>
      </c>
      <c r="R267" s="14">
        <f t="shared" ref="R267" si="526">SUM(R268:R270)</f>
        <v>0</v>
      </c>
      <c r="S267" s="14">
        <f t="shared" ref="S267" si="527">SUM(S268:S270)</f>
        <v>0</v>
      </c>
      <c r="T267" s="14">
        <f t="shared" ref="T267" si="528">SUM(T268:T270)</f>
        <v>0</v>
      </c>
      <c r="U267" s="14">
        <f t="shared" ref="U267" si="529">SUM(U268:U270)</f>
        <v>0</v>
      </c>
      <c r="V267" s="14">
        <f t="shared" ref="V267" si="530">SUM(V268:V270)</f>
        <v>0</v>
      </c>
      <c r="W267" s="14">
        <f t="shared" ref="W267:X267" si="531">SUM(W268:W270)</f>
        <v>0</v>
      </c>
      <c r="X267" s="14">
        <f t="shared" si="531"/>
        <v>0</v>
      </c>
      <c r="Y267" s="14">
        <f t="shared" ref="Y267:Z267" si="532">SUM(Y268:Y270)</f>
        <v>0</v>
      </c>
      <c r="Z267" s="14">
        <f t="shared" si="532"/>
        <v>0</v>
      </c>
      <c r="AA267" s="14">
        <f t="shared" ref="AA267:AB267" si="533">SUM(AA268:AA270)</f>
        <v>0</v>
      </c>
      <c r="AB267" s="14">
        <f t="shared" si="533"/>
        <v>0</v>
      </c>
      <c r="AC267" s="26"/>
      <c r="AD267" s="26"/>
    </row>
    <row r="268" spans="1:30" x14ac:dyDescent="0.25">
      <c r="A268" s="17">
        <v>265</v>
      </c>
      <c r="D268" s="8" t="s">
        <v>26</v>
      </c>
      <c r="E268" s="8" t="s">
        <v>25</v>
      </c>
      <c r="F268" s="15">
        <v>0</v>
      </c>
      <c r="G268" s="15">
        <v>0</v>
      </c>
      <c r="H268" s="15">
        <v>0</v>
      </c>
      <c r="I268" s="15">
        <v>0</v>
      </c>
      <c r="J268" s="15">
        <v>0</v>
      </c>
      <c r="K268" s="15">
        <v>0</v>
      </c>
      <c r="L268" s="15">
        <v>0</v>
      </c>
      <c r="M268" s="15">
        <v>0</v>
      </c>
      <c r="N268" s="15">
        <v>0</v>
      </c>
      <c r="O268" s="15">
        <v>0</v>
      </c>
      <c r="P268" s="15">
        <v>0</v>
      </c>
      <c r="Q268" s="15">
        <v>0</v>
      </c>
      <c r="R268" s="15">
        <v>0</v>
      </c>
      <c r="S268" s="15">
        <v>0</v>
      </c>
      <c r="T268" s="15">
        <v>0</v>
      </c>
      <c r="U268" s="15">
        <v>0</v>
      </c>
      <c r="V268" s="15">
        <v>0</v>
      </c>
      <c r="W268" s="15">
        <v>0</v>
      </c>
      <c r="X268" s="15">
        <v>0</v>
      </c>
      <c r="Y268" s="15">
        <v>0</v>
      </c>
      <c r="Z268" s="15">
        <v>0</v>
      </c>
      <c r="AA268" s="15">
        <v>0</v>
      </c>
      <c r="AB268" s="15">
        <v>0</v>
      </c>
      <c r="AC268" s="26"/>
      <c r="AD268" s="26"/>
    </row>
    <row r="269" spans="1:30" x14ac:dyDescent="0.25">
      <c r="A269" s="17">
        <v>266</v>
      </c>
      <c r="D269" s="8" t="s">
        <v>16</v>
      </c>
      <c r="E269" s="8" t="s">
        <v>27</v>
      </c>
      <c r="F269" s="15">
        <v>0</v>
      </c>
      <c r="G269" s="15">
        <v>0</v>
      </c>
      <c r="H269" s="15">
        <v>0</v>
      </c>
      <c r="I269" s="15">
        <v>0</v>
      </c>
      <c r="J269" s="15">
        <v>0</v>
      </c>
      <c r="K269" s="15">
        <v>0</v>
      </c>
      <c r="L269" s="15">
        <v>0</v>
      </c>
      <c r="M269" s="15">
        <v>0</v>
      </c>
      <c r="N269" s="15">
        <v>0</v>
      </c>
      <c r="O269" s="15">
        <v>0</v>
      </c>
      <c r="P269" s="15">
        <v>0</v>
      </c>
      <c r="Q269" s="15">
        <v>0</v>
      </c>
      <c r="R269" s="15">
        <v>0</v>
      </c>
      <c r="S269" s="15">
        <v>0</v>
      </c>
      <c r="T269" s="15">
        <v>0</v>
      </c>
      <c r="U269" s="15">
        <v>0</v>
      </c>
      <c r="V269" s="15">
        <v>0</v>
      </c>
      <c r="W269" s="15">
        <v>0</v>
      </c>
      <c r="X269" s="15">
        <v>0</v>
      </c>
      <c r="Y269" s="15">
        <v>0</v>
      </c>
      <c r="Z269" s="15">
        <v>0</v>
      </c>
      <c r="AA269" s="15">
        <v>0</v>
      </c>
      <c r="AB269" s="15">
        <v>0</v>
      </c>
      <c r="AC269" s="26"/>
      <c r="AD269" s="26"/>
    </row>
    <row r="270" spans="1:30" x14ac:dyDescent="0.25">
      <c r="A270" s="17">
        <v>267</v>
      </c>
      <c r="D270" s="8" t="s">
        <v>17</v>
      </c>
      <c r="E270" s="8" t="s">
        <v>28</v>
      </c>
      <c r="F270" s="15">
        <v>0</v>
      </c>
      <c r="G270" s="15">
        <v>0</v>
      </c>
      <c r="H270" s="15">
        <v>0</v>
      </c>
      <c r="I270" s="15">
        <v>0</v>
      </c>
      <c r="J270" s="15">
        <v>0</v>
      </c>
      <c r="K270" s="15">
        <v>0</v>
      </c>
      <c r="L270" s="15">
        <v>0</v>
      </c>
      <c r="M270" s="15">
        <v>0</v>
      </c>
      <c r="N270" s="15">
        <v>0</v>
      </c>
      <c r="O270" s="15">
        <v>0</v>
      </c>
      <c r="P270" s="15">
        <v>0</v>
      </c>
      <c r="Q270" s="15">
        <v>0</v>
      </c>
      <c r="R270" s="15">
        <v>0</v>
      </c>
      <c r="S270" s="15">
        <v>0</v>
      </c>
      <c r="T270" s="15">
        <v>0</v>
      </c>
      <c r="U270" s="15">
        <v>0</v>
      </c>
      <c r="V270" s="15">
        <v>0</v>
      </c>
      <c r="W270" s="15">
        <v>0</v>
      </c>
      <c r="X270" s="15">
        <v>0</v>
      </c>
      <c r="Y270" s="15">
        <v>0</v>
      </c>
      <c r="Z270" s="15">
        <v>0</v>
      </c>
      <c r="AA270" s="15">
        <v>0</v>
      </c>
      <c r="AB270" s="15">
        <v>0</v>
      </c>
      <c r="AC270" s="26"/>
      <c r="AD270" s="26"/>
    </row>
    <row r="271" spans="1:30" x14ac:dyDescent="0.25">
      <c r="A271" s="17">
        <v>268</v>
      </c>
      <c r="D271" s="7" t="s">
        <v>1</v>
      </c>
      <c r="E271" s="7" t="s">
        <v>29</v>
      </c>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26"/>
      <c r="AD271" s="26"/>
    </row>
    <row r="272" spans="1:30" x14ac:dyDescent="0.25">
      <c r="A272" s="17">
        <v>269</v>
      </c>
      <c r="D272" s="7" t="s">
        <v>30</v>
      </c>
      <c r="E272" s="7" t="s">
        <v>31</v>
      </c>
      <c r="F272" s="14">
        <v>0</v>
      </c>
      <c r="G272" s="14">
        <v>0</v>
      </c>
      <c r="H272" s="14">
        <v>0</v>
      </c>
      <c r="I272" s="14">
        <v>0</v>
      </c>
      <c r="J272" s="14">
        <v>0</v>
      </c>
      <c r="K272" s="14">
        <v>0</v>
      </c>
      <c r="L272" s="14">
        <v>0</v>
      </c>
      <c r="M272" s="14">
        <v>0</v>
      </c>
      <c r="N272" s="14">
        <v>0</v>
      </c>
      <c r="O272" s="14">
        <v>0</v>
      </c>
      <c r="P272" s="14">
        <v>0</v>
      </c>
      <c r="Q272" s="14">
        <v>0</v>
      </c>
      <c r="R272" s="14">
        <v>0</v>
      </c>
      <c r="S272" s="14">
        <v>0</v>
      </c>
      <c r="T272" s="14">
        <v>0</v>
      </c>
      <c r="U272" s="14">
        <v>0</v>
      </c>
      <c r="V272" s="14">
        <v>0</v>
      </c>
      <c r="W272" s="14">
        <v>0</v>
      </c>
      <c r="X272" s="14">
        <v>0</v>
      </c>
      <c r="Y272" s="14">
        <v>0</v>
      </c>
      <c r="Z272" s="14">
        <v>0</v>
      </c>
      <c r="AA272" s="14">
        <v>0</v>
      </c>
      <c r="AB272" s="14">
        <v>0</v>
      </c>
      <c r="AC272" s="26"/>
      <c r="AD272" s="26"/>
    </row>
    <row r="273" spans="1:30" ht="15.75" x14ac:dyDescent="0.25">
      <c r="A273" s="17">
        <v>270</v>
      </c>
      <c r="D273" s="6" t="s">
        <v>19</v>
      </c>
      <c r="E273" s="6" t="s">
        <v>22</v>
      </c>
      <c r="F273" s="12">
        <v>0</v>
      </c>
      <c r="G273" s="12">
        <v>0</v>
      </c>
      <c r="H273" s="12">
        <v>0</v>
      </c>
      <c r="I273" s="12">
        <v>0</v>
      </c>
      <c r="J273" s="12">
        <v>0</v>
      </c>
      <c r="K273" s="12">
        <v>0</v>
      </c>
      <c r="L273" s="12">
        <v>0</v>
      </c>
      <c r="M273" s="12">
        <v>0</v>
      </c>
      <c r="N273" s="12">
        <v>0</v>
      </c>
      <c r="O273" s="12">
        <v>0</v>
      </c>
      <c r="P273" s="12">
        <v>0</v>
      </c>
      <c r="Q273" s="12">
        <v>0</v>
      </c>
      <c r="R273" s="12">
        <v>0</v>
      </c>
      <c r="S273" s="12">
        <v>0</v>
      </c>
      <c r="T273" s="12">
        <v>0</v>
      </c>
      <c r="U273" s="12">
        <v>56.67812037487213</v>
      </c>
      <c r="V273" s="12">
        <v>0</v>
      </c>
      <c r="W273" s="12">
        <v>0</v>
      </c>
      <c r="X273" s="12">
        <v>0</v>
      </c>
      <c r="Y273" s="12">
        <v>85.306975921846941</v>
      </c>
      <c r="Z273" s="12">
        <v>0</v>
      </c>
      <c r="AA273" s="12">
        <v>0</v>
      </c>
      <c r="AB273" s="12">
        <v>0</v>
      </c>
      <c r="AC273" s="26"/>
      <c r="AD273" s="26"/>
    </row>
    <row r="274" spans="1:30" ht="9" customHeight="1" x14ac:dyDescent="0.25">
      <c r="A274" s="17">
        <v>271</v>
      </c>
      <c r="D274" s="9"/>
      <c r="E274" s="9"/>
      <c r="F274" s="11">
        <v>0</v>
      </c>
      <c r="G274" s="11">
        <v>0</v>
      </c>
      <c r="H274" s="11">
        <v>0</v>
      </c>
      <c r="I274" s="11">
        <v>0</v>
      </c>
      <c r="J274" s="11">
        <v>0</v>
      </c>
      <c r="K274" s="11">
        <v>0</v>
      </c>
      <c r="L274" s="11">
        <v>0</v>
      </c>
      <c r="M274" s="11">
        <v>0</v>
      </c>
      <c r="N274" s="11">
        <v>0</v>
      </c>
      <c r="O274" s="11">
        <v>0</v>
      </c>
      <c r="P274" s="11">
        <v>0</v>
      </c>
      <c r="Q274" s="11">
        <v>0</v>
      </c>
      <c r="R274" s="11">
        <v>0</v>
      </c>
      <c r="S274" s="11">
        <v>0</v>
      </c>
      <c r="T274" s="11">
        <v>0</v>
      </c>
      <c r="U274" s="11">
        <v>0</v>
      </c>
      <c r="V274" s="11">
        <v>0</v>
      </c>
      <c r="W274" s="11">
        <v>0</v>
      </c>
      <c r="X274" s="11">
        <v>0</v>
      </c>
      <c r="Y274" s="11">
        <v>0</v>
      </c>
      <c r="Z274" s="11">
        <v>0</v>
      </c>
      <c r="AA274" s="11">
        <v>0</v>
      </c>
      <c r="AB274" s="11">
        <v>0</v>
      </c>
      <c r="AC274" s="26"/>
      <c r="AD274" s="26"/>
    </row>
    <row r="275" spans="1:30" ht="35.1" customHeight="1" x14ac:dyDescent="0.35">
      <c r="A275" s="17">
        <v>272</v>
      </c>
      <c r="B275" s="10" t="s">
        <v>37</v>
      </c>
      <c r="C275" s="3"/>
      <c r="D275" s="3"/>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26"/>
      <c r="AD275" s="26"/>
    </row>
    <row r="276" spans="1:30" ht="26.1" customHeight="1" x14ac:dyDescent="0.35">
      <c r="A276" s="17">
        <v>273</v>
      </c>
      <c r="B276" s="3"/>
      <c r="C276" s="5" t="s">
        <v>10</v>
      </c>
      <c r="D276" s="5"/>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26"/>
      <c r="AD276" s="26"/>
    </row>
    <row r="277" spans="1:30" ht="18" customHeight="1" x14ac:dyDescent="0.25">
      <c r="A277" s="17">
        <v>274</v>
      </c>
      <c r="D277" s="6" t="s">
        <v>13</v>
      </c>
      <c r="E277" s="6" t="s">
        <v>35</v>
      </c>
      <c r="F277" s="12">
        <f>F278+F279+F283+F284</f>
        <v>-162.8179576967832</v>
      </c>
      <c r="G277" s="12">
        <f t="shared" ref="G277" si="534">G278+G279+G283+G284</f>
        <v>1824.7290863981623</v>
      </c>
      <c r="H277" s="12">
        <f t="shared" ref="H277" si="535">H278+H279+H283+H284</f>
        <v>1595.861201171027</v>
      </c>
      <c r="I277" s="12">
        <f t="shared" ref="I277" si="536">I278+I279+I283+I284</f>
        <v>5725.5313846662066</v>
      </c>
      <c r="J277" s="12">
        <f t="shared" ref="J277" si="537">J278+J279+J283+J284</f>
        <v>-1162.2617211495676</v>
      </c>
      <c r="K277" s="12">
        <f t="shared" ref="K277" si="538">K278+K279+K283+K284</f>
        <v>3779.940977062256</v>
      </c>
      <c r="L277" s="12">
        <f t="shared" ref="L277" si="539">L278+L279+L283+L284</f>
        <v>2301.0713171042817</v>
      </c>
      <c r="M277" s="12">
        <f t="shared" ref="M277" si="540">M278+M279+M283+M284</f>
        <v>2398.4306629511775</v>
      </c>
      <c r="N277" s="12">
        <f t="shared" ref="N277" si="541">N278+N279+N283+N284</f>
        <v>-8349.8187697832363</v>
      </c>
      <c r="O277" s="12">
        <f t="shared" ref="O277" si="542">O278+O279+O283+O284</f>
        <v>1130.2194285232054</v>
      </c>
      <c r="P277" s="12">
        <f t="shared" ref="P277" si="543">P278+P279+P283+P284</f>
        <v>1997.5660613668056</v>
      </c>
      <c r="Q277" s="12">
        <f t="shared" ref="Q277" si="544">Q278+Q279+Q283+Q284</f>
        <v>6676.6971612395755</v>
      </c>
      <c r="R277" s="12">
        <f t="shared" ref="R277" si="545">R278+R279+R283+R284</f>
        <v>1537.5868573198136</v>
      </c>
      <c r="S277" s="12">
        <f t="shared" ref="S277" si="546">S278+S279+S283+S284</f>
        <v>4990.3303465997324</v>
      </c>
      <c r="T277" s="12">
        <f t="shared" ref="T277" si="547">T278+T279+T283+T284</f>
        <v>-1198.3241675478216</v>
      </c>
      <c r="U277" s="12">
        <f t="shared" ref="U277" si="548">U278+U279+U283+U284</f>
        <v>5768.1038202736272</v>
      </c>
      <c r="V277" s="12">
        <f t="shared" ref="V277" si="549">V278+V279+V283+V284</f>
        <v>3017.7248207662892</v>
      </c>
      <c r="W277" s="12">
        <f t="shared" ref="W277:X277" si="550">W278+W279+W283+W284</f>
        <v>3291.0513418413484</v>
      </c>
      <c r="X277" s="12">
        <f t="shared" si="550"/>
        <v>3218.1276972284313</v>
      </c>
      <c r="Y277" s="12">
        <f t="shared" ref="Y277:Z277" si="551">Y278+Y279+Y283+Y284</f>
        <v>3581.3475298690469</v>
      </c>
      <c r="Z277" s="12">
        <f t="shared" si="551"/>
        <v>-1865.3237140849137</v>
      </c>
      <c r="AA277" s="12">
        <f t="shared" ref="AA277:AB277" si="552">AA278+AA279+AA283+AA284</f>
        <v>1823.6993575854635</v>
      </c>
      <c r="AB277" s="12">
        <f t="shared" si="552"/>
        <v>2322.6352813904991</v>
      </c>
      <c r="AC277" s="26"/>
      <c r="AD277" s="26"/>
    </row>
    <row r="278" spans="1:30" x14ac:dyDescent="0.25">
      <c r="A278" s="17">
        <v>275</v>
      </c>
      <c r="D278" s="7" t="s">
        <v>14</v>
      </c>
      <c r="E278" s="7" t="s">
        <v>23</v>
      </c>
      <c r="F278" s="14">
        <v>0</v>
      </c>
      <c r="G278" s="14">
        <v>0</v>
      </c>
      <c r="H278" s="14">
        <v>0</v>
      </c>
      <c r="I278" s="14">
        <v>0</v>
      </c>
      <c r="J278" s="14">
        <v>0</v>
      </c>
      <c r="K278" s="14">
        <v>0</v>
      </c>
      <c r="L278" s="14">
        <v>0</v>
      </c>
      <c r="M278" s="14">
        <v>0</v>
      </c>
      <c r="N278" s="14">
        <v>0</v>
      </c>
      <c r="O278" s="14">
        <v>0</v>
      </c>
      <c r="P278" s="14">
        <v>0</v>
      </c>
      <c r="Q278" s="14">
        <v>0</v>
      </c>
      <c r="R278" s="14">
        <v>0</v>
      </c>
      <c r="S278" s="14">
        <v>0</v>
      </c>
      <c r="T278" s="14">
        <v>0</v>
      </c>
      <c r="U278" s="14">
        <v>0</v>
      </c>
      <c r="V278" s="14">
        <v>0</v>
      </c>
      <c r="W278" s="14">
        <v>0</v>
      </c>
      <c r="X278" s="14">
        <v>0</v>
      </c>
      <c r="Y278" s="14">
        <v>0</v>
      </c>
      <c r="Z278" s="14">
        <v>0</v>
      </c>
      <c r="AA278" s="14">
        <v>0</v>
      </c>
      <c r="AB278" s="14">
        <v>0</v>
      </c>
      <c r="AC278" s="26"/>
      <c r="AD278" s="26"/>
    </row>
    <row r="279" spans="1:30" x14ac:dyDescent="0.25">
      <c r="A279" s="17">
        <v>276</v>
      </c>
      <c r="D279" s="7" t="s">
        <v>15</v>
      </c>
      <c r="E279" s="7" t="s">
        <v>0</v>
      </c>
      <c r="F279" s="14">
        <f>SUM(F280:F282)</f>
        <v>-162.8179576967832</v>
      </c>
      <c r="G279" s="14">
        <f t="shared" ref="G279" si="553">SUM(G280:G282)</f>
        <v>1824.7290863981623</v>
      </c>
      <c r="H279" s="14">
        <f t="shared" ref="H279" si="554">SUM(H280:H282)</f>
        <v>1595.861201171027</v>
      </c>
      <c r="I279" s="14">
        <f t="shared" ref="I279" si="555">SUM(I280:I282)</f>
        <v>5725.5313846662066</v>
      </c>
      <c r="J279" s="14">
        <f t="shared" ref="J279" si="556">SUM(J280:J282)</f>
        <v>-1162.2617211495676</v>
      </c>
      <c r="K279" s="14">
        <f t="shared" ref="K279" si="557">SUM(K280:K282)</f>
        <v>3779.940977062256</v>
      </c>
      <c r="L279" s="14">
        <f t="shared" ref="L279" si="558">SUM(L280:L282)</f>
        <v>2301.0713171042817</v>
      </c>
      <c r="M279" s="14">
        <f t="shared" ref="M279" si="559">SUM(M280:M282)</f>
        <v>2398.4306629511775</v>
      </c>
      <c r="N279" s="14">
        <f t="shared" ref="N279" si="560">SUM(N280:N282)</f>
        <v>-8349.8187697832363</v>
      </c>
      <c r="O279" s="14">
        <f t="shared" ref="O279" si="561">SUM(O280:O282)</f>
        <v>1130.2194285232054</v>
      </c>
      <c r="P279" s="14">
        <f t="shared" ref="P279" si="562">SUM(P280:P282)</f>
        <v>1997.5660613668056</v>
      </c>
      <c r="Q279" s="14">
        <f t="shared" ref="Q279" si="563">SUM(Q280:Q282)</f>
        <v>6676.6971612395755</v>
      </c>
      <c r="R279" s="14">
        <f t="shared" ref="R279" si="564">SUM(R280:R282)</f>
        <v>1537.5868573198136</v>
      </c>
      <c r="S279" s="14">
        <f t="shared" ref="S279" si="565">SUM(S280:S282)</f>
        <v>4990.3303465997324</v>
      </c>
      <c r="T279" s="14">
        <f t="shared" ref="T279" si="566">SUM(T280:T282)</f>
        <v>-1198.3241675478216</v>
      </c>
      <c r="U279" s="14">
        <f t="shared" ref="U279" si="567">SUM(U280:U282)</f>
        <v>5768.1038202736272</v>
      </c>
      <c r="V279" s="14">
        <f t="shared" ref="V279" si="568">SUM(V280:V282)</f>
        <v>3017.7248207662892</v>
      </c>
      <c r="W279" s="14">
        <f t="shared" ref="W279:X279" si="569">SUM(W280:W282)</f>
        <v>3291.0513418413484</v>
      </c>
      <c r="X279" s="14">
        <f t="shared" si="569"/>
        <v>3218.1276972284313</v>
      </c>
      <c r="Y279" s="14">
        <f t="shared" ref="Y279:Z279" si="570">SUM(Y280:Y282)</f>
        <v>3581.3475298690469</v>
      </c>
      <c r="Z279" s="14">
        <f t="shared" si="570"/>
        <v>-1865.3237140849137</v>
      </c>
      <c r="AA279" s="14">
        <f t="shared" ref="AA279:AB279" si="571">SUM(AA280:AA282)</f>
        <v>1823.6993575854635</v>
      </c>
      <c r="AB279" s="14">
        <f t="shared" si="571"/>
        <v>2322.6352813904991</v>
      </c>
      <c r="AC279" s="26"/>
      <c r="AD279" s="26"/>
    </row>
    <row r="280" spans="1:30" x14ac:dyDescent="0.25">
      <c r="A280" s="17">
        <v>277</v>
      </c>
      <c r="D280" s="8" t="s">
        <v>26</v>
      </c>
      <c r="E280" s="8" t="s">
        <v>25</v>
      </c>
      <c r="F280" s="15">
        <v>-162.8179576967832</v>
      </c>
      <c r="G280" s="15">
        <v>1824.7290863981623</v>
      </c>
      <c r="H280" s="15">
        <v>1595.861201171027</v>
      </c>
      <c r="I280" s="15">
        <v>5725.5313846662066</v>
      </c>
      <c r="J280" s="15">
        <v>-1162.2617211495676</v>
      </c>
      <c r="K280" s="15">
        <v>3779.940977062256</v>
      </c>
      <c r="L280" s="15">
        <v>2301.0713171042817</v>
      </c>
      <c r="M280" s="15">
        <v>2398.4306629511775</v>
      </c>
      <c r="N280" s="15">
        <v>-8349.8187697832363</v>
      </c>
      <c r="O280" s="15">
        <v>1130.2194285232054</v>
      </c>
      <c r="P280" s="15">
        <v>1997.5660613668056</v>
      </c>
      <c r="Q280" s="15">
        <v>6676.6971612395755</v>
      </c>
      <c r="R280" s="15">
        <v>1537.5868573198136</v>
      </c>
      <c r="S280" s="15">
        <v>4990.3303465997324</v>
      </c>
      <c r="T280" s="15">
        <v>-1198.3241675478216</v>
      </c>
      <c r="U280" s="15">
        <v>5768.1038202736272</v>
      </c>
      <c r="V280" s="15">
        <v>3017.7248207662892</v>
      </c>
      <c r="W280" s="15">
        <v>3291.0513418413484</v>
      </c>
      <c r="X280" s="15">
        <v>3218.1276972284313</v>
      </c>
      <c r="Y280" s="15">
        <v>3581.3475298690469</v>
      </c>
      <c r="Z280" s="15">
        <v>-1865.3237140849137</v>
      </c>
      <c r="AA280" s="15">
        <v>1823.6993575854635</v>
      </c>
      <c r="AB280" s="15">
        <v>2322.6352813904991</v>
      </c>
      <c r="AC280" s="26"/>
      <c r="AD280" s="26"/>
    </row>
    <row r="281" spans="1:30" x14ac:dyDescent="0.25">
      <c r="A281" s="17">
        <v>278</v>
      </c>
      <c r="D281" s="8" t="s">
        <v>16</v>
      </c>
      <c r="E281" s="8" t="s">
        <v>27</v>
      </c>
      <c r="F281" s="15">
        <v>0</v>
      </c>
      <c r="G281" s="15">
        <v>0</v>
      </c>
      <c r="H281" s="15">
        <v>0</v>
      </c>
      <c r="I281" s="15">
        <v>0</v>
      </c>
      <c r="J281" s="15">
        <v>0</v>
      </c>
      <c r="K281" s="15">
        <v>0</v>
      </c>
      <c r="L281" s="15">
        <v>0</v>
      </c>
      <c r="M281" s="15">
        <v>0</v>
      </c>
      <c r="N281" s="15">
        <v>0</v>
      </c>
      <c r="O281" s="15">
        <v>0</v>
      </c>
      <c r="P281" s="15">
        <v>0</v>
      </c>
      <c r="Q281" s="15">
        <v>0</v>
      </c>
      <c r="R281" s="15">
        <v>0</v>
      </c>
      <c r="S281" s="15">
        <v>0</v>
      </c>
      <c r="T281" s="15">
        <v>0</v>
      </c>
      <c r="U281" s="15">
        <v>0</v>
      </c>
      <c r="V281" s="15">
        <v>0</v>
      </c>
      <c r="W281" s="15">
        <v>0</v>
      </c>
      <c r="X281" s="15">
        <v>0</v>
      </c>
      <c r="Y281" s="15">
        <v>0</v>
      </c>
      <c r="Z281" s="15">
        <v>0</v>
      </c>
      <c r="AA281" s="15">
        <v>0</v>
      </c>
      <c r="AB281" s="15">
        <v>0</v>
      </c>
      <c r="AC281" s="26"/>
      <c r="AD281" s="26"/>
    </row>
    <row r="282" spans="1:30" x14ac:dyDescent="0.25">
      <c r="A282" s="17">
        <v>279</v>
      </c>
      <c r="D282" s="8" t="s">
        <v>17</v>
      </c>
      <c r="E282" s="8" t="s">
        <v>28</v>
      </c>
      <c r="F282" s="15">
        <v>0</v>
      </c>
      <c r="G282" s="15">
        <v>0</v>
      </c>
      <c r="H282" s="15">
        <v>0</v>
      </c>
      <c r="I282" s="15">
        <v>0</v>
      </c>
      <c r="J282" s="15">
        <v>0</v>
      </c>
      <c r="K282" s="15">
        <v>0</v>
      </c>
      <c r="L282" s="15">
        <v>0</v>
      </c>
      <c r="M282" s="15">
        <v>0</v>
      </c>
      <c r="N282" s="15">
        <v>0</v>
      </c>
      <c r="O282" s="15">
        <v>0</v>
      </c>
      <c r="P282" s="15">
        <v>0</v>
      </c>
      <c r="Q282" s="15">
        <v>0</v>
      </c>
      <c r="R282" s="15">
        <v>0</v>
      </c>
      <c r="S282" s="15">
        <v>0</v>
      </c>
      <c r="T282" s="15">
        <v>0</v>
      </c>
      <c r="U282" s="15">
        <v>0</v>
      </c>
      <c r="V282" s="15">
        <v>0</v>
      </c>
      <c r="W282" s="15">
        <v>0</v>
      </c>
      <c r="X282" s="15">
        <v>0</v>
      </c>
      <c r="Y282" s="15">
        <v>0</v>
      </c>
      <c r="Z282" s="15">
        <v>0</v>
      </c>
      <c r="AA282" s="15">
        <v>0</v>
      </c>
      <c r="AB282" s="15">
        <v>0</v>
      </c>
      <c r="AC282" s="26"/>
      <c r="AD282" s="26"/>
    </row>
    <row r="283" spans="1:30" x14ac:dyDescent="0.25">
      <c r="A283" s="17">
        <v>280</v>
      </c>
      <c r="D283" s="7" t="s">
        <v>18</v>
      </c>
      <c r="E283" s="7" t="s">
        <v>29</v>
      </c>
      <c r="F283" s="15">
        <v>0</v>
      </c>
      <c r="G283" s="15">
        <v>0</v>
      </c>
      <c r="H283" s="15">
        <v>0</v>
      </c>
      <c r="I283" s="15">
        <v>0</v>
      </c>
      <c r="J283" s="15">
        <v>0</v>
      </c>
      <c r="K283" s="15">
        <v>0</v>
      </c>
      <c r="L283" s="15">
        <v>0</v>
      </c>
      <c r="M283" s="15">
        <v>0</v>
      </c>
      <c r="N283" s="15">
        <v>0</v>
      </c>
      <c r="O283" s="15">
        <v>0</v>
      </c>
      <c r="P283" s="15">
        <v>0</v>
      </c>
      <c r="Q283" s="15">
        <v>0</v>
      </c>
      <c r="R283" s="15">
        <v>0</v>
      </c>
      <c r="S283" s="15">
        <v>0</v>
      </c>
      <c r="T283" s="15">
        <v>0</v>
      </c>
      <c r="U283" s="15">
        <v>0</v>
      </c>
      <c r="V283" s="15">
        <v>0</v>
      </c>
      <c r="W283" s="15">
        <v>0</v>
      </c>
      <c r="X283" s="15">
        <v>0</v>
      </c>
      <c r="Y283" s="15">
        <v>0</v>
      </c>
      <c r="Z283" s="15">
        <v>0</v>
      </c>
      <c r="AA283" s="15">
        <v>0</v>
      </c>
      <c r="AB283" s="15">
        <v>0</v>
      </c>
      <c r="AC283" s="26"/>
      <c r="AD283" s="26"/>
    </row>
    <row r="284" spans="1:30" x14ac:dyDescent="0.25">
      <c r="A284" s="17">
        <v>281</v>
      </c>
      <c r="D284" s="7" t="s">
        <v>30</v>
      </c>
      <c r="E284" s="7" t="s">
        <v>31</v>
      </c>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26"/>
      <c r="AD284" s="26"/>
    </row>
    <row r="285" spans="1:30" ht="15.75" x14ac:dyDescent="0.25">
      <c r="A285" s="17">
        <v>282</v>
      </c>
      <c r="D285" s="6" t="s">
        <v>19</v>
      </c>
      <c r="E285" s="6" t="s">
        <v>22</v>
      </c>
      <c r="F285" s="12">
        <v>-766.81669355604367</v>
      </c>
      <c r="G285" s="12">
        <v>-1413.9290087525278</v>
      </c>
      <c r="H285" s="12">
        <v>-6031.0452175826085</v>
      </c>
      <c r="I285" s="12">
        <v>-4992.9370724452174</v>
      </c>
      <c r="J285" s="12">
        <v>-3252.7511036799992</v>
      </c>
      <c r="K285" s="12">
        <v>-5555.0038685538402</v>
      </c>
      <c r="L285" s="12">
        <v>-5996.0425676660898</v>
      </c>
      <c r="M285" s="12">
        <v>-423.59114352000012</v>
      </c>
      <c r="N285" s="12">
        <v>1253.6382420053333</v>
      </c>
      <c r="O285" s="12">
        <v>-4302.2990169494515</v>
      </c>
      <c r="P285" s="12">
        <v>-8928.2536749855499</v>
      </c>
      <c r="Q285" s="12">
        <v>-8856.056627521808</v>
      </c>
      <c r="R285" s="12">
        <v>-4139.7464248571268</v>
      </c>
      <c r="S285" s="12">
        <v>-7078.6096758746426</v>
      </c>
      <c r="T285" s="12">
        <v>-9730.4611501884356</v>
      </c>
      <c r="U285" s="12">
        <v>-10545.354298680702</v>
      </c>
      <c r="V285" s="12">
        <v>-5944.59195580088</v>
      </c>
      <c r="W285" s="12">
        <v>-8754.7341708742497</v>
      </c>
      <c r="X285" s="12">
        <v>-12788.905428050562</v>
      </c>
      <c r="Y285" s="12">
        <v>-6863.131731028705</v>
      </c>
      <c r="Z285" s="12">
        <v>-10402.028583306703</v>
      </c>
      <c r="AA285" s="12">
        <v>-12735.080227683551</v>
      </c>
      <c r="AB285" s="12">
        <v>-13653.445873333607</v>
      </c>
      <c r="AC285" s="26"/>
      <c r="AD285" s="26"/>
    </row>
    <row r="286" spans="1:30" ht="9" customHeight="1" x14ac:dyDescent="0.25">
      <c r="A286" s="17">
        <v>283</v>
      </c>
      <c r="D286" s="9"/>
      <c r="E286" s="9"/>
      <c r="F286" s="11">
        <v>0</v>
      </c>
      <c r="G286" s="11">
        <v>0</v>
      </c>
      <c r="H286" s="11">
        <v>0</v>
      </c>
      <c r="I286" s="11">
        <v>0</v>
      </c>
      <c r="J286" s="11">
        <v>0</v>
      </c>
      <c r="K286" s="11">
        <v>0</v>
      </c>
      <c r="L286" s="11">
        <v>0</v>
      </c>
      <c r="M286" s="11">
        <v>0</v>
      </c>
      <c r="N286" s="11">
        <v>0</v>
      </c>
      <c r="O286" s="11">
        <v>0</v>
      </c>
      <c r="P286" s="11">
        <v>0</v>
      </c>
      <c r="Q286" s="11">
        <v>0</v>
      </c>
      <c r="R286" s="11">
        <v>0</v>
      </c>
      <c r="S286" s="11">
        <v>0</v>
      </c>
      <c r="T286" s="11">
        <v>0</v>
      </c>
      <c r="U286" s="11">
        <v>0</v>
      </c>
      <c r="V286" s="11">
        <v>0</v>
      </c>
      <c r="W286" s="11">
        <v>0</v>
      </c>
      <c r="X286" s="11">
        <v>0</v>
      </c>
      <c r="Y286" s="11">
        <v>0</v>
      </c>
      <c r="Z286" s="11">
        <v>0</v>
      </c>
      <c r="AA286" s="11">
        <v>0</v>
      </c>
      <c r="AB286" s="11">
        <v>0</v>
      </c>
      <c r="AC286" s="26"/>
      <c r="AD286" s="26"/>
    </row>
    <row r="287" spans="1:30" ht="26.1" customHeight="1" x14ac:dyDescent="0.35">
      <c r="A287" s="17">
        <v>284</v>
      </c>
      <c r="B287" s="3"/>
      <c r="C287" s="5" t="s">
        <v>11</v>
      </c>
      <c r="D287" s="5"/>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26"/>
      <c r="AD287" s="26"/>
    </row>
    <row r="288" spans="1:30" ht="18" customHeight="1" x14ac:dyDescent="0.25">
      <c r="A288" s="17">
        <v>285</v>
      </c>
      <c r="D288" s="6" t="s">
        <v>13</v>
      </c>
      <c r="E288" s="6" t="s">
        <v>35</v>
      </c>
      <c r="F288" s="12">
        <f>F289+F290+F294+F295</f>
        <v>0</v>
      </c>
      <c r="G288" s="12">
        <f t="shared" ref="G288" si="572">G289+G290+G294+G295</f>
        <v>0</v>
      </c>
      <c r="H288" s="12">
        <f t="shared" ref="H288" si="573">H289+H290+H294+H295</f>
        <v>0</v>
      </c>
      <c r="I288" s="12">
        <f t="shared" ref="I288" si="574">I289+I290+I294+I295</f>
        <v>0</v>
      </c>
      <c r="J288" s="12">
        <f t="shared" ref="J288" si="575">J289+J290+J294+J295</f>
        <v>0</v>
      </c>
      <c r="K288" s="12">
        <f t="shared" ref="K288" si="576">K289+K290+K294+K295</f>
        <v>0</v>
      </c>
      <c r="L288" s="12">
        <f t="shared" ref="L288" si="577">L289+L290+L294+L295</f>
        <v>0</v>
      </c>
      <c r="M288" s="12">
        <f t="shared" ref="M288" si="578">M289+M290+M294+M295</f>
        <v>0</v>
      </c>
      <c r="N288" s="12">
        <f t="shared" ref="N288" si="579">N289+N290+N294+N295</f>
        <v>0</v>
      </c>
      <c r="O288" s="12">
        <f t="shared" ref="O288" si="580">O289+O290+O294+O295</f>
        <v>0</v>
      </c>
      <c r="P288" s="12">
        <f t="shared" ref="P288" si="581">P289+P290+P294+P295</f>
        <v>0</v>
      </c>
      <c r="Q288" s="12">
        <f t="shared" ref="Q288" si="582">Q289+Q290+Q294+Q295</f>
        <v>0</v>
      </c>
      <c r="R288" s="12">
        <f t="shared" ref="R288" si="583">R289+R290+R294+R295</f>
        <v>0</v>
      </c>
      <c r="S288" s="12">
        <f t="shared" ref="S288" si="584">S289+S290+S294+S295</f>
        <v>86.305053000000001</v>
      </c>
      <c r="T288" s="12">
        <f t="shared" ref="T288" si="585">T289+T290+T294+T295</f>
        <v>171.125934</v>
      </c>
      <c r="U288" s="12">
        <f t="shared" ref="U288" si="586">U289+U290+U294+U295</f>
        <v>-4.6682990000000002</v>
      </c>
      <c r="V288" s="12">
        <f t="shared" ref="V288" si="587">V289+V290+V294+V295</f>
        <v>159.93980099999999</v>
      </c>
      <c r="W288" s="12">
        <f t="shared" ref="W288:X288" si="588">W289+W290+W294+W295</f>
        <v>107.52400900000001</v>
      </c>
      <c r="X288" s="12">
        <f t="shared" si="588"/>
        <v>193.274282</v>
      </c>
      <c r="Y288" s="12">
        <f t="shared" ref="Y288:Z288" si="589">Y289+Y290+Y294+Y295</f>
        <v>64.783467000000002</v>
      </c>
      <c r="Z288" s="12">
        <f t="shared" si="589"/>
        <v>-60.696133000000003</v>
      </c>
      <c r="AA288" s="12">
        <f t="shared" ref="AA288:AB288" si="590">AA289+AA290+AA294+AA295</f>
        <v>152.91906800000001</v>
      </c>
      <c r="AB288" s="12">
        <f t="shared" si="590"/>
        <v>358.31588199999999</v>
      </c>
      <c r="AC288" s="26"/>
      <c r="AD288" s="26"/>
    </row>
    <row r="289" spans="1:30" x14ac:dyDescent="0.25">
      <c r="A289" s="17">
        <v>286</v>
      </c>
      <c r="D289" s="7" t="s">
        <v>14</v>
      </c>
      <c r="E289" s="7" t="s">
        <v>23</v>
      </c>
      <c r="F289" s="15">
        <v>0</v>
      </c>
      <c r="G289" s="15">
        <v>0</v>
      </c>
      <c r="H289" s="15">
        <v>0</v>
      </c>
      <c r="I289" s="15">
        <v>0</v>
      </c>
      <c r="J289" s="15">
        <v>0</v>
      </c>
      <c r="K289" s="15">
        <v>0</v>
      </c>
      <c r="L289" s="15">
        <v>0</v>
      </c>
      <c r="M289" s="15">
        <v>0</v>
      </c>
      <c r="N289" s="15">
        <v>0</v>
      </c>
      <c r="O289" s="15">
        <v>0</v>
      </c>
      <c r="P289" s="15">
        <v>0</v>
      </c>
      <c r="Q289" s="15">
        <v>0</v>
      </c>
      <c r="R289" s="15">
        <v>0</v>
      </c>
      <c r="S289" s="15">
        <v>0</v>
      </c>
      <c r="T289" s="15">
        <v>0</v>
      </c>
      <c r="U289" s="15">
        <v>0</v>
      </c>
      <c r="V289" s="15">
        <v>0</v>
      </c>
      <c r="W289" s="15">
        <v>0</v>
      </c>
      <c r="X289" s="15">
        <v>0</v>
      </c>
      <c r="Y289" s="15">
        <v>0</v>
      </c>
      <c r="Z289" s="15">
        <v>0</v>
      </c>
      <c r="AA289" s="15">
        <v>0</v>
      </c>
      <c r="AB289" s="15">
        <v>0</v>
      </c>
      <c r="AC289" s="26"/>
      <c r="AD289" s="26"/>
    </row>
    <row r="290" spans="1:30" x14ac:dyDescent="0.25">
      <c r="A290" s="17">
        <v>287</v>
      </c>
      <c r="D290" s="7" t="s">
        <v>15</v>
      </c>
      <c r="E290" s="7" t="s">
        <v>0</v>
      </c>
      <c r="F290" s="14">
        <f>SUM(F291:F293)</f>
        <v>0</v>
      </c>
      <c r="G290" s="14">
        <f t="shared" ref="G290" si="591">SUM(G291:G293)</f>
        <v>0</v>
      </c>
      <c r="H290" s="14">
        <f t="shared" ref="H290" si="592">SUM(H291:H293)</f>
        <v>0</v>
      </c>
      <c r="I290" s="14">
        <f t="shared" ref="I290" si="593">SUM(I291:I293)</f>
        <v>0</v>
      </c>
      <c r="J290" s="14">
        <f t="shared" ref="J290" si="594">SUM(J291:J293)</f>
        <v>0</v>
      </c>
      <c r="K290" s="14">
        <f t="shared" ref="K290" si="595">SUM(K291:K293)</f>
        <v>0</v>
      </c>
      <c r="L290" s="14">
        <f t="shared" ref="L290" si="596">SUM(L291:L293)</f>
        <v>0</v>
      </c>
      <c r="M290" s="14">
        <f t="shared" ref="M290" si="597">SUM(M291:M293)</f>
        <v>0</v>
      </c>
      <c r="N290" s="14">
        <f t="shared" ref="N290" si="598">SUM(N291:N293)</f>
        <v>0</v>
      </c>
      <c r="O290" s="14">
        <f t="shared" ref="O290" si="599">SUM(O291:O293)</f>
        <v>0</v>
      </c>
      <c r="P290" s="14">
        <f t="shared" ref="P290" si="600">SUM(P291:P293)</f>
        <v>0</v>
      </c>
      <c r="Q290" s="14">
        <f t="shared" ref="Q290" si="601">SUM(Q291:Q293)</f>
        <v>0</v>
      </c>
      <c r="R290" s="14">
        <f t="shared" ref="R290" si="602">SUM(R291:R293)</f>
        <v>0</v>
      </c>
      <c r="S290" s="14">
        <f t="shared" ref="S290" si="603">SUM(S291:S293)</f>
        <v>86.305053000000001</v>
      </c>
      <c r="T290" s="14">
        <f t="shared" ref="T290" si="604">SUM(T291:T293)</f>
        <v>171.125934</v>
      </c>
      <c r="U290" s="14">
        <f t="shared" ref="U290" si="605">SUM(U291:U293)</f>
        <v>-4.6682990000000002</v>
      </c>
      <c r="V290" s="14">
        <f t="shared" ref="V290" si="606">SUM(V291:V293)</f>
        <v>159.93980099999999</v>
      </c>
      <c r="W290" s="14">
        <f t="shared" ref="W290:X290" si="607">SUM(W291:W293)</f>
        <v>107.52400900000001</v>
      </c>
      <c r="X290" s="14">
        <f t="shared" si="607"/>
        <v>193.274282</v>
      </c>
      <c r="Y290" s="14">
        <f t="shared" ref="Y290:Z290" si="608">SUM(Y291:Y293)</f>
        <v>64.783467000000002</v>
      </c>
      <c r="Z290" s="14">
        <f t="shared" si="608"/>
        <v>-60.696133000000003</v>
      </c>
      <c r="AA290" s="14">
        <f t="shared" ref="AA290:AB290" si="609">SUM(AA291:AA293)</f>
        <v>152.91906800000001</v>
      </c>
      <c r="AB290" s="14">
        <f t="shared" si="609"/>
        <v>358.31588199999999</v>
      </c>
      <c r="AC290" s="26"/>
      <c r="AD290" s="26"/>
    </row>
    <row r="291" spans="1:30" x14ac:dyDescent="0.25">
      <c r="A291" s="17">
        <v>288</v>
      </c>
      <c r="D291" s="8" t="s">
        <v>26</v>
      </c>
      <c r="E291" s="8" t="s">
        <v>25</v>
      </c>
      <c r="F291" s="15">
        <v>0</v>
      </c>
      <c r="G291" s="15">
        <v>0</v>
      </c>
      <c r="H291" s="15">
        <v>0</v>
      </c>
      <c r="I291" s="15">
        <v>0</v>
      </c>
      <c r="J291" s="15">
        <v>0</v>
      </c>
      <c r="K291" s="15">
        <v>0</v>
      </c>
      <c r="L291" s="15">
        <v>0</v>
      </c>
      <c r="M291" s="15">
        <v>0</v>
      </c>
      <c r="N291" s="15">
        <v>0</v>
      </c>
      <c r="O291" s="15">
        <v>0</v>
      </c>
      <c r="P291" s="15">
        <v>0</v>
      </c>
      <c r="Q291" s="15">
        <v>0</v>
      </c>
      <c r="R291" s="15">
        <v>0</v>
      </c>
      <c r="S291" s="15">
        <v>86.305053000000001</v>
      </c>
      <c r="T291" s="15">
        <v>171.125934</v>
      </c>
      <c r="U291" s="15">
        <v>-4.6682990000000002</v>
      </c>
      <c r="V291" s="15">
        <v>159.93980099999999</v>
      </c>
      <c r="W291" s="15">
        <v>107.52400900000001</v>
      </c>
      <c r="X291" s="15">
        <v>193.274282</v>
      </c>
      <c r="Y291" s="15">
        <v>64.783467000000002</v>
      </c>
      <c r="Z291" s="15">
        <v>-60.696133000000003</v>
      </c>
      <c r="AA291" s="15">
        <v>152.91906800000001</v>
      </c>
      <c r="AB291" s="15">
        <v>358.31588199999999</v>
      </c>
      <c r="AC291" s="26"/>
      <c r="AD291" s="26"/>
    </row>
    <row r="292" spans="1:30" x14ac:dyDescent="0.25">
      <c r="A292" s="17">
        <v>289</v>
      </c>
      <c r="D292" s="8" t="s">
        <v>16</v>
      </c>
      <c r="E292" s="8" t="s">
        <v>27</v>
      </c>
      <c r="F292" s="15">
        <v>0</v>
      </c>
      <c r="G292" s="15">
        <v>0</v>
      </c>
      <c r="H292" s="15">
        <v>0</v>
      </c>
      <c r="I292" s="15">
        <v>0</v>
      </c>
      <c r="J292" s="15">
        <v>0</v>
      </c>
      <c r="K292" s="15">
        <v>0</v>
      </c>
      <c r="L292" s="15">
        <v>0</v>
      </c>
      <c r="M292" s="15">
        <v>0</v>
      </c>
      <c r="N292" s="15">
        <v>0</v>
      </c>
      <c r="O292" s="15">
        <v>0</v>
      </c>
      <c r="P292" s="15">
        <v>0</v>
      </c>
      <c r="Q292" s="15">
        <v>0</v>
      </c>
      <c r="R292" s="15">
        <v>0</v>
      </c>
      <c r="S292" s="15">
        <v>0</v>
      </c>
      <c r="T292" s="15">
        <v>0</v>
      </c>
      <c r="U292" s="15">
        <v>0</v>
      </c>
      <c r="V292" s="15">
        <v>0</v>
      </c>
      <c r="W292" s="15">
        <v>0</v>
      </c>
      <c r="X292" s="15">
        <v>0</v>
      </c>
      <c r="Y292" s="15">
        <v>0</v>
      </c>
      <c r="Z292" s="15">
        <v>0</v>
      </c>
      <c r="AA292" s="15">
        <v>0</v>
      </c>
      <c r="AB292" s="15">
        <v>0</v>
      </c>
      <c r="AC292" s="26"/>
      <c r="AD292" s="26"/>
    </row>
    <row r="293" spans="1:30" x14ac:dyDescent="0.25">
      <c r="A293" s="17">
        <v>290</v>
      </c>
      <c r="D293" s="8" t="s">
        <v>17</v>
      </c>
      <c r="E293" s="8" t="s">
        <v>28</v>
      </c>
      <c r="F293" s="15">
        <v>0</v>
      </c>
      <c r="G293" s="15">
        <v>0</v>
      </c>
      <c r="H293" s="15">
        <v>0</v>
      </c>
      <c r="I293" s="15">
        <v>0</v>
      </c>
      <c r="J293" s="15">
        <v>0</v>
      </c>
      <c r="K293" s="15">
        <v>0</v>
      </c>
      <c r="L293" s="15">
        <v>0</v>
      </c>
      <c r="M293" s="15">
        <v>0</v>
      </c>
      <c r="N293" s="15">
        <v>0</v>
      </c>
      <c r="O293" s="15">
        <v>0</v>
      </c>
      <c r="P293" s="15">
        <v>0</v>
      </c>
      <c r="Q293" s="15">
        <v>0</v>
      </c>
      <c r="R293" s="15">
        <v>0</v>
      </c>
      <c r="S293" s="15">
        <v>0</v>
      </c>
      <c r="T293" s="15">
        <v>0</v>
      </c>
      <c r="U293" s="15">
        <v>0</v>
      </c>
      <c r="V293" s="15">
        <v>0</v>
      </c>
      <c r="W293" s="15">
        <v>0</v>
      </c>
      <c r="X293" s="15">
        <v>0</v>
      </c>
      <c r="Y293" s="15">
        <v>0</v>
      </c>
      <c r="Z293" s="15">
        <v>0</v>
      </c>
      <c r="AA293" s="15">
        <v>0</v>
      </c>
      <c r="AB293" s="15">
        <v>0</v>
      </c>
      <c r="AC293" s="26"/>
      <c r="AD293" s="26"/>
    </row>
    <row r="294" spans="1:30" x14ac:dyDescent="0.25">
      <c r="A294" s="17">
        <v>291</v>
      </c>
      <c r="D294" s="7" t="s">
        <v>1</v>
      </c>
      <c r="E294" s="7" t="s">
        <v>29</v>
      </c>
      <c r="F294" s="14">
        <v>0</v>
      </c>
      <c r="G294" s="14">
        <v>0</v>
      </c>
      <c r="H294" s="14">
        <v>0</v>
      </c>
      <c r="I294" s="14">
        <v>0</v>
      </c>
      <c r="J294" s="14">
        <v>0</v>
      </c>
      <c r="K294" s="14">
        <v>0</v>
      </c>
      <c r="L294" s="14">
        <v>0</v>
      </c>
      <c r="M294" s="14">
        <v>0</v>
      </c>
      <c r="N294" s="14">
        <v>0</v>
      </c>
      <c r="O294" s="14">
        <v>0</v>
      </c>
      <c r="P294" s="14">
        <v>0</v>
      </c>
      <c r="Q294" s="14">
        <v>0</v>
      </c>
      <c r="R294" s="14">
        <v>0</v>
      </c>
      <c r="S294" s="14">
        <v>0</v>
      </c>
      <c r="T294" s="14">
        <v>0</v>
      </c>
      <c r="U294" s="14">
        <v>0</v>
      </c>
      <c r="V294" s="14">
        <v>0</v>
      </c>
      <c r="W294" s="14">
        <v>0</v>
      </c>
      <c r="X294" s="14">
        <v>0</v>
      </c>
      <c r="Y294" s="14">
        <v>0</v>
      </c>
      <c r="Z294" s="14">
        <v>0</v>
      </c>
      <c r="AA294" s="14">
        <v>0</v>
      </c>
      <c r="AB294" s="14">
        <v>0</v>
      </c>
      <c r="AC294" s="26"/>
      <c r="AD294" s="26"/>
    </row>
    <row r="295" spans="1:30" x14ac:dyDescent="0.25">
      <c r="A295" s="17">
        <v>292</v>
      </c>
      <c r="D295" s="7" t="s">
        <v>30</v>
      </c>
      <c r="E295" s="7" t="s">
        <v>31</v>
      </c>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26"/>
      <c r="AD295" s="26"/>
    </row>
    <row r="296" spans="1:30" ht="15.75" x14ac:dyDescent="0.25">
      <c r="A296" s="17">
        <v>293</v>
      </c>
      <c r="D296" s="6" t="s">
        <v>19</v>
      </c>
      <c r="E296" s="6" t="s">
        <v>22</v>
      </c>
      <c r="F296" s="12">
        <v>0</v>
      </c>
      <c r="G296" s="12">
        <v>0</v>
      </c>
      <c r="H296" s="12">
        <v>0</v>
      </c>
      <c r="I296" s="12">
        <v>0</v>
      </c>
      <c r="J296" s="12">
        <v>0</v>
      </c>
      <c r="K296" s="12">
        <v>0</v>
      </c>
      <c r="L296" s="12">
        <v>0</v>
      </c>
      <c r="M296" s="12">
        <v>0</v>
      </c>
      <c r="N296" s="12">
        <v>0</v>
      </c>
      <c r="O296" s="12">
        <v>0</v>
      </c>
      <c r="P296" s="12">
        <v>0</v>
      </c>
      <c r="Q296" s="12">
        <v>0</v>
      </c>
      <c r="R296" s="12">
        <v>0</v>
      </c>
      <c r="S296" s="12">
        <v>0</v>
      </c>
      <c r="T296" s="12">
        <v>0</v>
      </c>
      <c r="U296" s="12">
        <v>0</v>
      </c>
      <c r="V296" s="12">
        <v>0</v>
      </c>
      <c r="W296" s="12">
        <v>0</v>
      </c>
      <c r="X296" s="12">
        <v>0</v>
      </c>
      <c r="Y296" s="12">
        <v>0</v>
      </c>
      <c r="Z296" s="12">
        <v>0</v>
      </c>
      <c r="AA296" s="12">
        <v>0</v>
      </c>
      <c r="AB296" s="12">
        <v>0</v>
      </c>
      <c r="AC296" s="26"/>
      <c r="AD296" s="26"/>
    </row>
    <row r="297" spans="1:30" ht="17.25" customHeight="1" x14ac:dyDescent="0.25">
      <c r="A297" s="17">
        <v>294</v>
      </c>
      <c r="D297" s="9"/>
      <c r="E297" s="9"/>
      <c r="F297" s="11">
        <v>0</v>
      </c>
      <c r="G297" s="11">
        <v>0</v>
      </c>
      <c r="H297" s="11">
        <v>0</v>
      </c>
      <c r="I297" s="11">
        <v>0</v>
      </c>
      <c r="J297" s="11">
        <v>0</v>
      </c>
      <c r="K297" s="11">
        <v>0</v>
      </c>
      <c r="L297" s="11">
        <v>0</v>
      </c>
      <c r="M297" s="11">
        <v>0</v>
      </c>
      <c r="N297" s="11">
        <v>0</v>
      </c>
      <c r="O297" s="11">
        <v>0</v>
      </c>
      <c r="P297" s="11">
        <v>0</v>
      </c>
      <c r="Q297" s="11">
        <v>0</v>
      </c>
      <c r="R297" s="11">
        <v>0</v>
      </c>
      <c r="S297" s="11">
        <v>0</v>
      </c>
      <c r="T297" s="11">
        <v>0</v>
      </c>
      <c r="U297" s="11">
        <v>0</v>
      </c>
      <c r="V297" s="11">
        <v>0</v>
      </c>
      <c r="W297" s="11">
        <v>0</v>
      </c>
      <c r="X297" s="11">
        <v>0</v>
      </c>
      <c r="Y297" s="11">
        <v>0</v>
      </c>
      <c r="Z297" s="11">
        <v>0</v>
      </c>
      <c r="AA297" s="11">
        <v>0</v>
      </c>
      <c r="AB297" s="11">
        <v>0</v>
      </c>
      <c r="AC297" s="26"/>
      <c r="AD297" s="26"/>
    </row>
    <row r="298" spans="1:30" ht="26.1" customHeight="1" x14ac:dyDescent="0.35">
      <c r="A298" s="17">
        <v>295</v>
      </c>
      <c r="B298" s="3"/>
      <c r="C298" s="5" t="s">
        <v>6</v>
      </c>
      <c r="D298" s="5"/>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26"/>
      <c r="AD298" s="26"/>
    </row>
    <row r="299" spans="1:30" ht="18" customHeight="1" x14ac:dyDescent="0.25">
      <c r="A299" s="17">
        <v>296</v>
      </c>
      <c r="D299" s="6" t="s">
        <v>13</v>
      </c>
      <c r="E299" s="6" t="s">
        <v>35</v>
      </c>
      <c r="F299" s="12">
        <f>F300+F301+F305+F306</f>
        <v>8.1198706559477269</v>
      </c>
      <c r="G299" s="12">
        <f t="shared" ref="G299" si="610">G300+G301+G305+G306</f>
        <v>-22.35529422931026</v>
      </c>
      <c r="H299" s="12">
        <f t="shared" ref="H299" si="611">H300+H301+H305+H306</f>
        <v>162.78408994959506</v>
      </c>
      <c r="I299" s="12">
        <f t="shared" ref="I299" si="612">I300+I301+I305+I306</f>
        <v>-153.11966405595558</v>
      </c>
      <c r="J299" s="12">
        <f t="shared" ref="J299" si="613">J300+J301+J305+J306</f>
        <v>67.365706511999363</v>
      </c>
      <c r="K299" s="12">
        <f t="shared" ref="K299" si="614">K300+K301+K305+K306</f>
        <v>-27.729283201869194</v>
      </c>
      <c r="L299" s="12">
        <f t="shared" ref="L299" si="615">L300+L301+L305+L306</f>
        <v>133.07667522698026</v>
      </c>
      <c r="M299" s="12">
        <f t="shared" ref="M299" si="616">M300+M301+M305+M306</f>
        <v>26.546619404452084</v>
      </c>
      <c r="N299" s="12">
        <f t="shared" ref="N299" si="617">N300+N301+N305+N306</f>
        <v>-8.8455045597075905</v>
      </c>
      <c r="O299" s="12">
        <f t="shared" ref="O299" si="618">O300+O301+O305+O306</f>
        <v>-17.160335010895878</v>
      </c>
      <c r="P299" s="12">
        <f t="shared" ref="P299" si="619">P300+P301+P305+P306</f>
        <v>7.4900928691150579</v>
      </c>
      <c r="Q299" s="12">
        <f t="shared" ref="Q299" si="620">Q300+Q301+Q305+Q306</f>
        <v>-5.7893111924120815</v>
      </c>
      <c r="R299" s="12">
        <f t="shared" ref="R299" si="621">R300+R301+R305+R306</f>
        <v>13.749433094195279</v>
      </c>
      <c r="S299" s="12">
        <f t="shared" ref="S299" si="622">S300+S301+S305+S306</f>
        <v>-35.693065762412019</v>
      </c>
      <c r="T299" s="12">
        <f t="shared" ref="T299" si="623">T300+T301+T305+T306</f>
        <v>-20.310115520958277</v>
      </c>
      <c r="U299" s="12">
        <f t="shared" ref="U299" si="624">U300+U301+U305+U306</f>
        <v>8.1455726346998585</v>
      </c>
      <c r="V299" s="12">
        <f t="shared" ref="V299" si="625">V300+V301+V305+V306</f>
        <v>-16.904827640984962</v>
      </c>
      <c r="W299" s="12">
        <f t="shared" ref="W299:X299" si="626">W300+W301+W305+W306</f>
        <v>-2.9404976485684635</v>
      </c>
      <c r="X299" s="12">
        <f t="shared" si="626"/>
        <v>-2.4024733365665014</v>
      </c>
      <c r="Y299" s="12">
        <f t="shared" ref="Y299:Z299" si="627">Y300+Y301+Y305+Y306</f>
        <v>10.796533793517922</v>
      </c>
      <c r="Z299" s="12">
        <f t="shared" si="627"/>
        <v>-0.88686909359177823</v>
      </c>
      <c r="AA299" s="12">
        <f t="shared" ref="AA299:AB299" si="628">AA300+AA301+AA305+AA306</f>
        <v>0.44497661376834152</v>
      </c>
      <c r="AB299" s="12">
        <f t="shared" si="628"/>
        <v>14.070196516031144</v>
      </c>
      <c r="AC299" s="26"/>
      <c r="AD299" s="26"/>
    </row>
    <row r="300" spans="1:30" x14ac:dyDescent="0.25">
      <c r="A300" s="17">
        <v>297</v>
      </c>
      <c r="D300" s="7" t="s">
        <v>14</v>
      </c>
      <c r="E300" s="7" t="s">
        <v>23</v>
      </c>
      <c r="F300" s="14">
        <v>0</v>
      </c>
      <c r="G300" s="14">
        <v>0</v>
      </c>
      <c r="H300" s="14">
        <v>0</v>
      </c>
      <c r="I300" s="14">
        <v>0</v>
      </c>
      <c r="J300" s="14">
        <v>0</v>
      </c>
      <c r="K300" s="14">
        <v>0</v>
      </c>
      <c r="L300" s="14">
        <v>0</v>
      </c>
      <c r="M300" s="14">
        <v>0</v>
      </c>
      <c r="N300" s="14">
        <v>0</v>
      </c>
      <c r="O300" s="14">
        <v>0</v>
      </c>
      <c r="P300" s="14">
        <v>0</v>
      </c>
      <c r="Q300" s="14">
        <v>0</v>
      </c>
      <c r="R300" s="14">
        <v>0</v>
      </c>
      <c r="S300" s="14">
        <v>0</v>
      </c>
      <c r="T300" s="14">
        <v>0</v>
      </c>
      <c r="U300" s="14">
        <v>0</v>
      </c>
      <c r="V300" s="14">
        <v>0</v>
      </c>
      <c r="W300" s="14">
        <v>0</v>
      </c>
      <c r="X300" s="14">
        <v>0</v>
      </c>
      <c r="Y300" s="14">
        <v>0</v>
      </c>
      <c r="Z300" s="14">
        <v>0</v>
      </c>
      <c r="AA300" s="14">
        <v>0</v>
      </c>
      <c r="AB300" s="14">
        <v>0</v>
      </c>
      <c r="AC300" s="26"/>
      <c r="AD300" s="26"/>
    </row>
    <row r="301" spans="1:30" x14ac:dyDescent="0.25">
      <c r="A301" s="17">
        <v>298</v>
      </c>
      <c r="D301" s="7" t="s">
        <v>15</v>
      </c>
      <c r="E301" s="7" t="s">
        <v>0</v>
      </c>
      <c r="F301" s="14">
        <f>SUM(F302:F304)</f>
        <v>8.1198706559477269</v>
      </c>
      <c r="G301" s="14">
        <f t="shared" ref="G301" si="629">SUM(G302:G304)</f>
        <v>-22.35529422931026</v>
      </c>
      <c r="H301" s="14">
        <f t="shared" ref="H301" si="630">SUM(H302:H304)</f>
        <v>162.78408994959506</v>
      </c>
      <c r="I301" s="14">
        <f t="shared" ref="I301" si="631">SUM(I302:I304)</f>
        <v>-153.11966405595558</v>
      </c>
      <c r="J301" s="14">
        <f t="shared" ref="J301" si="632">SUM(J302:J304)</f>
        <v>67.365706511999363</v>
      </c>
      <c r="K301" s="14">
        <f t="shared" ref="K301" si="633">SUM(K302:K304)</f>
        <v>-27.729283201869194</v>
      </c>
      <c r="L301" s="14">
        <f t="shared" ref="L301" si="634">SUM(L302:L304)</f>
        <v>133.07667522698026</v>
      </c>
      <c r="M301" s="14">
        <f t="shared" ref="M301" si="635">SUM(M302:M304)</f>
        <v>26.546619404452084</v>
      </c>
      <c r="N301" s="14">
        <f t="shared" ref="N301" si="636">SUM(N302:N304)</f>
        <v>-8.8455045597075905</v>
      </c>
      <c r="O301" s="14">
        <f t="shared" ref="O301" si="637">SUM(O302:O304)</f>
        <v>-17.160335010895878</v>
      </c>
      <c r="P301" s="14">
        <f t="shared" ref="P301" si="638">SUM(P302:P304)</f>
        <v>7.4900928691150579</v>
      </c>
      <c r="Q301" s="14">
        <f t="shared" ref="Q301" si="639">SUM(Q302:Q304)</f>
        <v>-5.7893111924120815</v>
      </c>
      <c r="R301" s="14">
        <f t="shared" ref="R301" si="640">SUM(R302:R304)</f>
        <v>13.749433094195279</v>
      </c>
      <c r="S301" s="14">
        <f t="shared" ref="S301" si="641">SUM(S302:S304)</f>
        <v>-35.693065762412019</v>
      </c>
      <c r="T301" s="14">
        <f t="shared" ref="T301" si="642">SUM(T302:T304)</f>
        <v>-20.310115520958277</v>
      </c>
      <c r="U301" s="14">
        <f t="shared" ref="U301" si="643">SUM(U302:U304)</f>
        <v>8.1455726346998585</v>
      </c>
      <c r="V301" s="14">
        <f t="shared" ref="V301" si="644">SUM(V302:V304)</f>
        <v>-16.904827640984962</v>
      </c>
      <c r="W301" s="14">
        <f t="shared" ref="W301:X301" si="645">SUM(W302:W304)</f>
        <v>-2.9404976485684635</v>
      </c>
      <c r="X301" s="14">
        <f t="shared" si="645"/>
        <v>-2.4024733365665014</v>
      </c>
      <c r="Y301" s="14">
        <f t="shared" ref="Y301:Z301" si="646">SUM(Y302:Y304)</f>
        <v>10.796533793517922</v>
      </c>
      <c r="Z301" s="14">
        <f t="shared" si="646"/>
        <v>-0.88686909359177823</v>
      </c>
      <c r="AA301" s="14">
        <f t="shared" ref="AA301:AB301" si="647">SUM(AA302:AA304)</f>
        <v>0.44497661376834152</v>
      </c>
      <c r="AB301" s="14">
        <f t="shared" si="647"/>
        <v>14.070196516031144</v>
      </c>
      <c r="AC301" s="26"/>
      <c r="AD301" s="26"/>
    </row>
    <row r="302" spans="1:30" x14ac:dyDescent="0.25">
      <c r="A302" s="17">
        <v>299</v>
      </c>
      <c r="D302" s="8" t="s">
        <v>26</v>
      </c>
      <c r="E302" s="8" t="s">
        <v>25</v>
      </c>
      <c r="F302" s="15">
        <v>0</v>
      </c>
      <c r="G302" s="15">
        <v>0</v>
      </c>
      <c r="H302" s="15">
        <v>0</v>
      </c>
      <c r="I302" s="15">
        <v>5.542135</v>
      </c>
      <c r="J302" s="15">
        <v>-0.45632600000000001</v>
      </c>
      <c r="K302" s="15">
        <v>-0.32911200000000002</v>
      </c>
      <c r="L302" s="15">
        <v>-0.72967899999999997</v>
      </c>
      <c r="M302" s="15">
        <v>-0.35505700000000001</v>
      </c>
      <c r="N302" s="15">
        <v>2.9885169999999999</v>
      </c>
      <c r="O302" s="15">
        <v>0.18513099999999999</v>
      </c>
      <c r="P302" s="15">
        <v>-5.6862999999999997E-2</v>
      </c>
      <c r="Q302" s="15">
        <v>-0.39354600000000001</v>
      </c>
      <c r="R302" s="15">
        <v>-6.3952</v>
      </c>
      <c r="S302" s="15">
        <v>0</v>
      </c>
      <c r="T302" s="15">
        <v>0</v>
      </c>
      <c r="U302" s="15">
        <v>0</v>
      </c>
      <c r="V302" s="15">
        <v>0</v>
      </c>
      <c r="W302" s="15">
        <v>0</v>
      </c>
      <c r="X302" s="15">
        <v>0</v>
      </c>
      <c r="Y302" s="15">
        <v>0</v>
      </c>
      <c r="Z302" s="15">
        <v>0</v>
      </c>
      <c r="AA302" s="15">
        <v>0</v>
      </c>
      <c r="AB302" s="15">
        <v>0</v>
      </c>
      <c r="AC302" s="26"/>
      <c r="AD302" s="26"/>
    </row>
    <row r="303" spans="1:30" x14ac:dyDescent="0.25">
      <c r="A303" s="17">
        <v>300</v>
      </c>
      <c r="D303" s="8" t="s">
        <v>16</v>
      </c>
      <c r="E303" s="8" t="s">
        <v>27</v>
      </c>
      <c r="F303" s="15">
        <v>8.1198706559477269</v>
      </c>
      <c r="G303" s="15">
        <v>-22.35529422931026</v>
      </c>
      <c r="H303" s="15">
        <v>162.78408994959506</v>
      </c>
      <c r="I303" s="15">
        <v>-158.66179905595558</v>
      </c>
      <c r="J303" s="15">
        <v>67.822032511999367</v>
      </c>
      <c r="K303" s="15">
        <v>-27.400171201869195</v>
      </c>
      <c r="L303" s="15">
        <v>133.80635422698026</v>
      </c>
      <c r="M303" s="15">
        <v>26.901676404452083</v>
      </c>
      <c r="N303" s="15">
        <v>-11.83402155970759</v>
      </c>
      <c r="O303" s="15">
        <v>-17.345466010895876</v>
      </c>
      <c r="P303" s="15">
        <v>7.5469558691150578</v>
      </c>
      <c r="Q303" s="15">
        <v>-5.3957651924120817</v>
      </c>
      <c r="R303" s="15">
        <v>20.144633094195278</v>
      </c>
      <c r="S303" s="15">
        <v>-35.693065762412019</v>
      </c>
      <c r="T303" s="15">
        <v>-20.310115520958277</v>
      </c>
      <c r="U303" s="15">
        <v>8.1455726346998585</v>
      </c>
      <c r="V303" s="15">
        <v>-16.904827640984962</v>
      </c>
      <c r="W303" s="15">
        <v>-2.9404976485684635</v>
      </c>
      <c r="X303" s="15">
        <v>-2.4024733365665014</v>
      </c>
      <c r="Y303" s="15">
        <v>10.796533793517922</v>
      </c>
      <c r="Z303" s="15">
        <v>-0.88686909359177823</v>
      </c>
      <c r="AA303" s="15">
        <v>0.44497661376834152</v>
      </c>
      <c r="AB303" s="15">
        <v>14.070196516031144</v>
      </c>
      <c r="AC303" s="26"/>
      <c r="AD303" s="26"/>
    </row>
    <row r="304" spans="1:30" x14ac:dyDescent="0.25">
      <c r="A304" s="17">
        <v>301</v>
      </c>
      <c r="D304" s="8" t="s">
        <v>17</v>
      </c>
      <c r="E304" s="8" t="s">
        <v>28</v>
      </c>
      <c r="F304" s="15">
        <v>0</v>
      </c>
      <c r="G304" s="15">
        <v>0</v>
      </c>
      <c r="H304" s="15">
        <v>0</v>
      </c>
      <c r="I304" s="15">
        <v>0</v>
      </c>
      <c r="J304" s="15">
        <v>0</v>
      </c>
      <c r="K304" s="15">
        <v>0</v>
      </c>
      <c r="L304" s="15">
        <v>0</v>
      </c>
      <c r="M304" s="15">
        <v>0</v>
      </c>
      <c r="N304" s="15">
        <v>0</v>
      </c>
      <c r="O304" s="15">
        <v>0</v>
      </c>
      <c r="P304" s="15">
        <v>0</v>
      </c>
      <c r="Q304" s="15">
        <v>0</v>
      </c>
      <c r="R304" s="15">
        <v>0</v>
      </c>
      <c r="S304" s="15">
        <v>0</v>
      </c>
      <c r="T304" s="15">
        <v>0</v>
      </c>
      <c r="U304" s="15">
        <v>0</v>
      </c>
      <c r="V304" s="15">
        <v>0</v>
      </c>
      <c r="W304" s="15">
        <v>0</v>
      </c>
      <c r="X304" s="15">
        <v>0</v>
      </c>
      <c r="Y304" s="15">
        <v>0</v>
      </c>
      <c r="Z304" s="15">
        <v>0</v>
      </c>
      <c r="AA304" s="15">
        <v>0</v>
      </c>
      <c r="AB304" s="15">
        <v>0</v>
      </c>
      <c r="AC304" s="26"/>
      <c r="AD304" s="26"/>
    </row>
    <row r="305" spans="1:30" x14ac:dyDescent="0.25">
      <c r="A305" s="17">
        <v>302</v>
      </c>
      <c r="D305" s="7" t="s">
        <v>1</v>
      </c>
      <c r="E305" s="7" t="s">
        <v>29</v>
      </c>
      <c r="F305" s="14">
        <v>0</v>
      </c>
      <c r="G305" s="14">
        <v>0</v>
      </c>
      <c r="H305" s="14">
        <v>0</v>
      </c>
      <c r="I305" s="14">
        <v>0</v>
      </c>
      <c r="J305" s="14">
        <v>0</v>
      </c>
      <c r="K305" s="14">
        <v>0</v>
      </c>
      <c r="L305" s="14">
        <v>0</v>
      </c>
      <c r="M305" s="14">
        <v>0</v>
      </c>
      <c r="N305" s="14">
        <v>0</v>
      </c>
      <c r="O305" s="14">
        <v>0</v>
      </c>
      <c r="P305" s="14">
        <v>0</v>
      </c>
      <c r="Q305" s="14">
        <v>0</v>
      </c>
      <c r="R305" s="14">
        <v>0</v>
      </c>
      <c r="S305" s="14">
        <v>0</v>
      </c>
      <c r="T305" s="14">
        <v>0</v>
      </c>
      <c r="U305" s="14">
        <v>0</v>
      </c>
      <c r="V305" s="14">
        <v>0</v>
      </c>
      <c r="W305" s="14">
        <v>0</v>
      </c>
      <c r="X305" s="14">
        <v>0</v>
      </c>
      <c r="Y305" s="14">
        <v>0</v>
      </c>
      <c r="Z305" s="14">
        <v>0</v>
      </c>
      <c r="AA305" s="14">
        <v>0</v>
      </c>
      <c r="AB305" s="14">
        <v>0</v>
      </c>
      <c r="AC305" s="26"/>
      <c r="AD305" s="26"/>
    </row>
    <row r="306" spans="1:30" x14ac:dyDescent="0.25">
      <c r="A306" s="17">
        <v>303</v>
      </c>
      <c r="D306" s="7" t="s">
        <v>30</v>
      </c>
      <c r="E306" s="7" t="s">
        <v>31</v>
      </c>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26"/>
      <c r="AD306" s="26"/>
    </row>
    <row r="307" spans="1:30" ht="15.75" x14ac:dyDescent="0.25">
      <c r="A307" s="17">
        <v>304</v>
      </c>
      <c r="D307" s="6" t="s">
        <v>19</v>
      </c>
      <c r="E307" s="6" t="s">
        <v>22</v>
      </c>
      <c r="F307" s="12">
        <v>0</v>
      </c>
      <c r="G307" s="12">
        <v>0</v>
      </c>
      <c r="H307" s="12">
        <v>0</v>
      </c>
      <c r="I307" s="12">
        <v>0</v>
      </c>
      <c r="J307" s="12">
        <v>0</v>
      </c>
      <c r="K307" s="12">
        <v>0</v>
      </c>
      <c r="L307" s="12">
        <v>0</v>
      </c>
      <c r="M307" s="12">
        <v>0</v>
      </c>
      <c r="N307" s="12">
        <v>0</v>
      </c>
      <c r="O307" s="12">
        <v>0</v>
      </c>
      <c r="P307" s="12">
        <v>0</v>
      </c>
      <c r="Q307" s="12">
        <v>0</v>
      </c>
      <c r="R307" s="12">
        <v>0</v>
      </c>
      <c r="S307" s="12">
        <v>0</v>
      </c>
      <c r="T307" s="12">
        <v>0</v>
      </c>
      <c r="U307" s="12">
        <v>0</v>
      </c>
      <c r="V307" s="12">
        <v>0</v>
      </c>
      <c r="W307" s="12">
        <v>0</v>
      </c>
      <c r="X307" s="12">
        <v>0</v>
      </c>
      <c r="Y307" s="12">
        <v>0</v>
      </c>
      <c r="Z307" s="12">
        <v>0</v>
      </c>
      <c r="AA307" s="12">
        <v>0</v>
      </c>
      <c r="AB307" s="12">
        <v>0</v>
      </c>
      <c r="AC307" s="26"/>
      <c r="AD307" s="26"/>
    </row>
    <row r="308" spans="1:30" ht="9" customHeight="1" x14ac:dyDescent="0.25">
      <c r="A308" s="17">
        <v>305</v>
      </c>
      <c r="D308" s="9"/>
      <c r="E308" s="9"/>
      <c r="F308" s="11">
        <v>0</v>
      </c>
      <c r="G308" s="11">
        <v>0</v>
      </c>
      <c r="H308" s="11">
        <v>0</v>
      </c>
      <c r="I308" s="11">
        <v>0</v>
      </c>
      <c r="J308" s="11">
        <v>0</v>
      </c>
      <c r="K308" s="11">
        <v>0</v>
      </c>
      <c r="L308" s="11">
        <v>0</v>
      </c>
      <c r="M308" s="11">
        <v>0</v>
      </c>
      <c r="N308" s="11">
        <v>0</v>
      </c>
      <c r="O308" s="11">
        <v>0</v>
      </c>
      <c r="P308" s="11">
        <v>0</v>
      </c>
      <c r="Q308" s="11">
        <v>0</v>
      </c>
      <c r="R308" s="11">
        <v>0</v>
      </c>
      <c r="S308" s="11">
        <v>0</v>
      </c>
      <c r="T308" s="11">
        <v>0</v>
      </c>
      <c r="U308" s="11">
        <v>0</v>
      </c>
      <c r="V308" s="11">
        <v>0</v>
      </c>
      <c r="W308" s="11">
        <v>0</v>
      </c>
      <c r="X308" s="11">
        <v>0</v>
      </c>
      <c r="Y308" s="11">
        <v>0</v>
      </c>
      <c r="Z308" s="11">
        <v>0</v>
      </c>
      <c r="AA308" s="11">
        <v>0</v>
      </c>
      <c r="AB308" s="11">
        <v>0</v>
      </c>
      <c r="AC308" s="26"/>
      <c r="AD308" s="26"/>
    </row>
    <row r="309" spans="1:30" ht="26.1" customHeight="1" x14ac:dyDescent="0.35">
      <c r="A309" s="17">
        <v>306</v>
      </c>
      <c r="B309" s="3"/>
      <c r="C309" s="5" t="s">
        <v>24</v>
      </c>
      <c r="D309" s="5"/>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26"/>
      <c r="AD309" s="26"/>
    </row>
    <row r="310" spans="1:30" ht="18" customHeight="1" x14ac:dyDescent="0.25">
      <c r="A310" s="17">
        <v>307</v>
      </c>
      <c r="D310" s="6" t="s">
        <v>13</v>
      </c>
      <c r="E310" s="6" t="s">
        <v>35</v>
      </c>
      <c r="F310" s="12">
        <f>F311+F312+F316+F317</f>
        <v>803.84591111315672</v>
      </c>
      <c r="G310" s="12">
        <f t="shared" ref="G310" si="648">G311+G312+G316+G317</f>
        <v>586.52530644784429</v>
      </c>
      <c r="H310" s="12">
        <f t="shared" ref="H310" si="649">H311+H312+H316+H317</f>
        <v>487.29143146788596</v>
      </c>
      <c r="I310" s="12">
        <f t="shared" ref="I310" si="650">I311+I312+I316+I317</f>
        <v>905.2849605584961</v>
      </c>
      <c r="J310" s="12">
        <f t="shared" ref="J310" si="651">J311+J312+J316+J317</f>
        <v>564.67203090966984</v>
      </c>
      <c r="K310" s="12">
        <f t="shared" ref="K310" si="652">K311+K312+K316+K317</f>
        <v>351.90876572414032</v>
      </c>
      <c r="L310" s="12">
        <f t="shared" ref="L310" si="653">L311+L312+L316+L317</f>
        <v>365.44005318769803</v>
      </c>
      <c r="M310" s="12">
        <f t="shared" ref="M310" si="654">M311+M312+M316+M317</f>
        <v>660.0825461703804</v>
      </c>
      <c r="N310" s="12">
        <f t="shared" ref="N310" si="655">N311+N312+N316+N317</f>
        <v>638.54670296878658</v>
      </c>
      <c r="O310" s="12">
        <f t="shared" ref="O310" si="656">O311+O312+O316+O317</f>
        <v>991.79347413151345</v>
      </c>
      <c r="P310" s="12">
        <f t="shared" ref="P310" si="657">P311+P312+P316+P317</f>
        <v>654.42972579928755</v>
      </c>
      <c r="Q310" s="12">
        <f t="shared" ref="Q310" si="658">Q311+Q312+Q316+Q317</f>
        <v>688.34569863496029</v>
      </c>
      <c r="R310" s="12">
        <f t="shared" ref="R310" si="659">R311+R312+R316+R317</f>
        <v>-1097.3337432667338</v>
      </c>
      <c r="S310" s="12">
        <f t="shared" ref="S310" si="660">S311+S312+S316+S317</f>
        <v>-328.80351373753865</v>
      </c>
      <c r="T310" s="12">
        <f t="shared" ref="T310" si="661">T311+T312+T316+T317</f>
        <v>-828.35488666259755</v>
      </c>
      <c r="U310" s="12">
        <f t="shared" ref="U310" si="662">U311+U312+U316+U317</f>
        <v>210.71328834546384</v>
      </c>
      <c r="V310" s="12">
        <f t="shared" ref="V310" si="663">V311+V312+V316+V317</f>
        <v>494.76934550850774</v>
      </c>
      <c r="W310" s="12">
        <f t="shared" ref="W310:X310" si="664">W311+W312+W316+W317</f>
        <v>651.59713355885538</v>
      </c>
      <c r="X310" s="12">
        <f t="shared" si="664"/>
        <v>-177.37236102127397</v>
      </c>
      <c r="Y310" s="12">
        <f t="shared" ref="Y310:Z310" si="665">Y311+Y312+Y316+Y317</f>
        <v>1161.2000406464508</v>
      </c>
      <c r="Z310" s="12">
        <f t="shared" si="665"/>
        <v>-957.64704724694502</v>
      </c>
      <c r="AA310" s="12">
        <f t="shared" ref="AA310:AB310" si="666">AA311+AA312+AA316+AA317</f>
        <v>2382.2532855104928</v>
      </c>
      <c r="AB310" s="12">
        <f t="shared" si="666"/>
        <v>-533.52695635266195</v>
      </c>
      <c r="AC310" s="26"/>
      <c r="AD310" s="26"/>
    </row>
    <row r="311" spans="1:30" x14ac:dyDescent="0.25">
      <c r="A311" s="17">
        <v>308</v>
      </c>
      <c r="D311" s="7" t="s">
        <v>14</v>
      </c>
      <c r="E311" s="7" t="s">
        <v>23</v>
      </c>
      <c r="F311" s="15">
        <v>844.74399147492488</v>
      </c>
      <c r="G311" s="15">
        <v>502.41556830511939</v>
      </c>
      <c r="H311" s="15">
        <v>492.45101500286421</v>
      </c>
      <c r="I311" s="15">
        <v>835.55615835936396</v>
      </c>
      <c r="J311" s="15">
        <v>618.57391215234532</v>
      </c>
      <c r="K311" s="15">
        <v>467.20539408749602</v>
      </c>
      <c r="L311" s="15">
        <v>455.41509715043702</v>
      </c>
      <c r="M311" s="15">
        <v>657.21678142324504</v>
      </c>
      <c r="N311" s="15">
        <v>826.7921537406836</v>
      </c>
      <c r="O311" s="15">
        <v>1278.1726773188768</v>
      </c>
      <c r="P311" s="15">
        <v>769.13669671307889</v>
      </c>
      <c r="Q311" s="15">
        <v>826.79575900589055</v>
      </c>
      <c r="R311" s="15">
        <v>-966.67486668431229</v>
      </c>
      <c r="S311" s="15">
        <v>-255.06761593245074</v>
      </c>
      <c r="T311" s="15">
        <v>-672.54735457613424</v>
      </c>
      <c r="U311" s="15">
        <v>237.08275461234734</v>
      </c>
      <c r="V311" s="15">
        <v>554.02878555728239</v>
      </c>
      <c r="W311" s="15">
        <v>742.67787422286347</v>
      </c>
      <c r="X311" s="15">
        <v>58.876340966322459</v>
      </c>
      <c r="Y311" s="15">
        <v>1363.9435265785287</v>
      </c>
      <c r="Z311" s="15">
        <v>-821.20393673189392</v>
      </c>
      <c r="AA311" s="15">
        <v>2514.6336324304284</v>
      </c>
      <c r="AB311" s="15">
        <v>-388.74924992714659</v>
      </c>
      <c r="AC311" s="26"/>
      <c r="AD311" s="26"/>
    </row>
    <row r="312" spans="1:30" x14ac:dyDescent="0.25">
      <c r="A312" s="17">
        <v>309</v>
      </c>
      <c r="D312" s="7" t="s">
        <v>15</v>
      </c>
      <c r="E312" s="7" t="s">
        <v>0</v>
      </c>
      <c r="F312" s="14">
        <f>SUM(F313:F315)</f>
        <v>-40.898080361768145</v>
      </c>
      <c r="G312" s="14">
        <f t="shared" ref="G312" si="667">SUM(G313:G315)</f>
        <v>84.109738142724893</v>
      </c>
      <c r="H312" s="14">
        <f t="shared" ref="H312" si="668">SUM(H313:H315)</f>
        <v>-5.1595835349782515</v>
      </c>
      <c r="I312" s="14">
        <f t="shared" ref="I312" si="669">SUM(I313:I315)</f>
        <v>69.728802199132105</v>
      </c>
      <c r="J312" s="14">
        <f t="shared" ref="J312" si="670">SUM(J313:J315)</f>
        <v>-53.901881242675444</v>
      </c>
      <c r="K312" s="14">
        <f t="shared" ref="K312" si="671">SUM(K313:K315)</f>
        <v>-115.29662836335571</v>
      </c>
      <c r="L312" s="14">
        <f t="shared" ref="L312" si="672">SUM(L313:L315)</f>
        <v>-89.975043962739008</v>
      </c>
      <c r="M312" s="14">
        <f t="shared" ref="M312" si="673">SUM(M313:M315)</f>
        <v>2.8657647471353513</v>
      </c>
      <c r="N312" s="14">
        <f t="shared" ref="N312" si="674">SUM(N313:N315)</f>
        <v>-188.24545077189705</v>
      </c>
      <c r="O312" s="14">
        <f t="shared" ref="O312" si="675">SUM(O313:O315)</f>
        <v>-286.37920318736343</v>
      </c>
      <c r="P312" s="14">
        <f t="shared" ref="P312" si="676">SUM(P313:P315)</f>
        <v>-114.70697091379131</v>
      </c>
      <c r="Q312" s="14">
        <f t="shared" ref="Q312" si="677">SUM(Q313:Q315)</f>
        <v>-138.45006037093026</v>
      </c>
      <c r="R312" s="14">
        <f t="shared" ref="R312" si="678">SUM(R313:R315)</f>
        <v>-130.65887658242156</v>
      </c>
      <c r="S312" s="14">
        <f t="shared" ref="S312" si="679">SUM(S313:S315)</f>
        <v>-73.735897805087944</v>
      </c>
      <c r="T312" s="14">
        <f t="shared" ref="T312" si="680">SUM(T313:T315)</f>
        <v>-155.80753208646331</v>
      </c>
      <c r="U312" s="14">
        <f t="shared" ref="U312" si="681">SUM(U313:U315)</f>
        <v>-26.369466266883517</v>
      </c>
      <c r="V312" s="14">
        <f t="shared" ref="V312" si="682">SUM(V313:V315)</f>
        <v>-59.259440048774621</v>
      </c>
      <c r="W312" s="14">
        <f t="shared" ref="W312:X312" si="683">SUM(W313:W315)</f>
        <v>-91.080740664008147</v>
      </c>
      <c r="X312" s="14">
        <f t="shared" si="683"/>
        <v>-236.24870198759643</v>
      </c>
      <c r="Y312" s="14">
        <f t="shared" ref="Y312:Z312" si="684">SUM(Y313:Y315)</f>
        <v>-202.74348593207782</v>
      </c>
      <c r="Z312" s="14">
        <f t="shared" si="684"/>
        <v>-136.44311051505116</v>
      </c>
      <c r="AA312" s="14">
        <f t="shared" ref="AA312:AB312" si="685">SUM(AA313:AA315)</f>
        <v>-132.38034691993542</v>
      </c>
      <c r="AB312" s="14">
        <f t="shared" si="685"/>
        <v>-144.7777064255153</v>
      </c>
      <c r="AC312" s="26"/>
      <c r="AD312" s="26"/>
    </row>
    <row r="313" spans="1:30" x14ac:dyDescent="0.25">
      <c r="A313" s="17">
        <v>310</v>
      </c>
      <c r="D313" s="8" t="s">
        <v>26</v>
      </c>
      <c r="E313" s="8" t="s">
        <v>25</v>
      </c>
      <c r="F313" s="15">
        <v>5.3392792600000067</v>
      </c>
      <c r="G313" s="15">
        <v>17.134189260000007</v>
      </c>
      <c r="H313" s="15">
        <v>-1.0751242199999904</v>
      </c>
      <c r="I313" s="15">
        <v>24.502149659999994</v>
      </c>
      <c r="J313" s="15">
        <v>5.1136877399999854</v>
      </c>
      <c r="K313" s="15">
        <v>0.15785694000003758</v>
      </c>
      <c r="L313" s="15">
        <v>4.0535069399999575</v>
      </c>
      <c r="M313" s="15">
        <v>-7.5021879999972896E-2</v>
      </c>
      <c r="N313" s="15">
        <v>-2.4877222999999962</v>
      </c>
      <c r="O313" s="15">
        <v>-1.2845195600000245</v>
      </c>
      <c r="P313" s="15">
        <v>-0.27441417500005727</v>
      </c>
      <c r="Q313" s="15">
        <v>0.45855989500006089</v>
      </c>
      <c r="R313" s="15">
        <v>-5.6758289200000505</v>
      </c>
      <c r="S313" s="15">
        <v>-3.1665000000000276E-2</v>
      </c>
      <c r="T313" s="15">
        <v>0.3207516000000119</v>
      </c>
      <c r="U313" s="15">
        <v>-2.0555450000294684E-3</v>
      </c>
      <c r="V313" s="15">
        <v>-0.23362149431986623</v>
      </c>
      <c r="W313" s="15">
        <v>6.1929845579996368E-2</v>
      </c>
      <c r="X313" s="15">
        <v>-0.28865815086012425</v>
      </c>
      <c r="Y313" s="15">
        <v>-3.1226054639399337</v>
      </c>
      <c r="Z313" s="15">
        <v>7.0657089999972555E-3</v>
      </c>
      <c r="AA313" s="15">
        <v>-5.3247258999604696E-3</v>
      </c>
      <c r="AB313" s="15">
        <v>-0.26375930404010006</v>
      </c>
      <c r="AC313" s="26"/>
      <c r="AD313" s="26"/>
    </row>
    <row r="314" spans="1:30" x14ac:dyDescent="0.25">
      <c r="A314" s="17">
        <v>311</v>
      </c>
      <c r="D314" s="8" t="s">
        <v>16</v>
      </c>
      <c r="E314" s="8" t="s">
        <v>27</v>
      </c>
      <c r="F314" s="15">
        <v>-59.905413605090345</v>
      </c>
      <c r="G314" s="15">
        <v>61.682435997729428</v>
      </c>
      <c r="H314" s="15">
        <v>-9.5060998767067559</v>
      </c>
      <c r="I314" s="15">
        <v>47.01799186178097</v>
      </c>
      <c r="J314" s="15">
        <v>-44.292451831231503</v>
      </c>
      <c r="K314" s="15">
        <v>-116.33277112109886</v>
      </c>
      <c r="L314" s="15">
        <v>-122.20937156168883</v>
      </c>
      <c r="M314" s="15">
        <v>7.4014015533624331</v>
      </c>
      <c r="N314" s="15">
        <v>-185.75772847189705</v>
      </c>
      <c r="O314" s="15">
        <v>-256.75557679120976</v>
      </c>
      <c r="P314" s="15">
        <v>-116.05614294789829</v>
      </c>
      <c r="Q314" s="15">
        <v>-192.35296996164794</v>
      </c>
      <c r="R314" s="15">
        <v>-119.55282037147373</v>
      </c>
      <c r="S314" s="15">
        <v>-76.39645019368615</v>
      </c>
      <c r="T314" s="15">
        <v>-156.55959766301385</v>
      </c>
      <c r="U314" s="15">
        <v>-27.607971806477693</v>
      </c>
      <c r="V314" s="15">
        <v>-57.284361174882712</v>
      </c>
      <c r="W314" s="15">
        <v>-93.950999015430128</v>
      </c>
      <c r="X314" s="15">
        <v>-233.1625979150464</v>
      </c>
      <c r="Y314" s="15">
        <v>-202.19196087332134</v>
      </c>
      <c r="Z314" s="15">
        <v>-133.87050239714955</v>
      </c>
      <c r="AA314" s="15">
        <v>-133.02055592400055</v>
      </c>
      <c r="AB314" s="15">
        <v>-149.23807599457334</v>
      </c>
      <c r="AC314" s="26"/>
      <c r="AD314" s="26"/>
    </row>
    <row r="315" spans="1:30" x14ac:dyDescent="0.25">
      <c r="A315" s="17">
        <v>312</v>
      </c>
      <c r="D315" s="8" t="s">
        <v>17</v>
      </c>
      <c r="E315" s="8" t="s">
        <v>28</v>
      </c>
      <c r="F315" s="15">
        <v>13.668053983322196</v>
      </c>
      <c r="G315" s="15">
        <v>5.2931128849954519</v>
      </c>
      <c r="H315" s="15">
        <v>5.4216405617284948</v>
      </c>
      <c r="I315" s="15">
        <v>-1.7913393226488665</v>
      </c>
      <c r="J315" s="15">
        <v>-14.72311715144393</v>
      </c>
      <c r="K315" s="15">
        <v>0.87828581774310521</v>
      </c>
      <c r="L315" s="15">
        <v>28.180820658949855</v>
      </c>
      <c r="M315" s="15">
        <v>-4.4606149262271089</v>
      </c>
      <c r="N315" s="15">
        <v>0</v>
      </c>
      <c r="O315" s="15">
        <v>-28.339106836153633</v>
      </c>
      <c r="P315" s="15">
        <v>1.6235862091070459</v>
      </c>
      <c r="Q315" s="15">
        <v>53.444349695717634</v>
      </c>
      <c r="R315" s="15">
        <v>-5.4302272909477978</v>
      </c>
      <c r="S315" s="15">
        <v>2.692217388598209</v>
      </c>
      <c r="T315" s="15">
        <v>0.43131397655052695</v>
      </c>
      <c r="U315" s="15">
        <v>1.240561084594205</v>
      </c>
      <c r="V315" s="15">
        <v>-1.7414573795720401</v>
      </c>
      <c r="W315" s="15">
        <v>2.8083285058419847</v>
      </c>
      <c r="X315" s="15">
        <v>-2.7974459216898993</v>
      </c>
      <c r="Y315" s="15">
        <v>2.5710804051834657</v>
      </c>
      <c r="Z315" s="15">
        <v>-2.5796738269015833</v>
      </c>
      <c r="AA315" s="15">
        <v>0.64553372996508074</v>
      </c>
      <c r="AB315" s="15">
        <v>4.7241288730981097</v>
      </c>
      <c r="AC315" s="26"/>
      <c r="AD315" s="26"/>
    </row>
    <row r="316" spans="1:30" x14ac:dyDescent="0.25">
      <c r="A316" s="17">
        <v>313</v>
      </c>
      <c r="D316" s="7" t="s">
        <v>1</v>
      </c>
      <c r="E316" s="7" t="s">
        <v>29</v>
      </c>
      <c r="F316" s="14">
        <v>0</v>
      </c>
      <c r="G316" s="14">
        <v>0</v>
      </c>
      <c r="H316" s="14">
        <v>0</v>
      </c>
      <c r="I316" s="14">
        <v>0</v>
      </c>
      <c r="J316" s="14">
        <v>0</v>
      </c>
      <c r="K316" s="14">
        <v>0</v>
      </c>
      <c r="L316" s="14">
        <v>0</v>
      </c>
      <c r="M316" s="14">
        <v>0</v>
      </c>
      <c r="N316" s="14">
        <v>0</v>
      </c>
      <c r="O316" s="14">
        <v>0</v>
      </c>
      <c r="P316" s="14">
        <v>0</v>
      </c>
      <c r="Q316" s="14">
        <v>0</v>
      </c>
      <c r="R316" s="14">
        <v>0</v>
      </c>
      <c r="S316" s="14">
        <v>0</v>
      </c>
      <c r="T316" s="14">
        <v>0</v>
      </c>
      <c r="U316" s="14">
        <v>0</v>
      </c>
      <c r="V316" s="14">
        <v>0</v>
      </c>
      <c r="W316" s="14">
        <v>0</v>
      </c>
      <c r="X316" s="14">
        <v>0</v>
      </c>
      <c r="Y316" s="14">
        <v>0</v>
      </c>
      <c r="Z316" s="14">
        <v>0</v>
      </c>
      <c r="AA316" s="14">
        <v>0</v>
      </c>
      <c r="AB316" s="14">
        <v>0</v>
      </c>
      <c r="AC316" s="26"/>
      <c r="AD316" s="26"/>
    </row>
    <row r="317" spans="1:30" x14ac:dyDescent="0.25">
      <c r="A317" s="17">
        <v>314</v>
      </c>
      <c r="D317" s="7" t="s">
        <v>30</v>
      </c>
      <c r="E317" s="7" t="s">
        <v>31</v>
      </c>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26"/>
      <c r="AD317" s="26"/>
    </row>
    <row r="318" spans="1:30" ht="15.75" x14ac:dyDescent="0.25">
      <c r="A318" s="17">
        <v>315</v>
      </c>
      <c r="D318" s="6" t="s">
        <v>19</v>
      </c>
      <c r="E318" s="6" t="s">
        <v>22</v>
      </c>
      <c r="F318" s="12">
        <v>0</v>
      </c>
      <c r="G318" s="12">
        <v>0</v>
      </c>
      <c r="H318" s="12">
        <v>0</v>
      </c>
      <c r="I318" s="12">
        <v>0</v>
      </c>
      <c r="J318" s="12">
        <v>0</v>
      </c>
      <c r="K318" s="12">
        <v>0</v>
      </c>
      <c r="L318" s="12">
        <v>0</v>
      </c>
      <c r="M318" s="12">
        <v>0</v>
      </c>
      <c r="N318" s="12">
        <v>0</v>
      </c>
      <c r="O318" s="12">
        <v>0</v>
      </c>
      <c r="P318" s="12">
        <v>0</v>
      </c>
      <c r="Q318" s="12">
        <v>0</v>
      </c>
      <c r="R318" s="12">
        <v>0</v>
      </c>
      <c r="S318" s="12">
        <v>0</v>
      </c>
      <c r="T318" s="12">
        <v>0</v>
      </c>
      <c r="U318" s="12">
        <v>0</v>
      </c>
      <c r="V318" s="12">
        <v>0</v>
      </c>
      <c r="W318" s="12">
        <v>0</v>
      </c>
      <c r="X318" s="12">
        <v>0</v>
      </c>
      <c r="Y318" s="12">
        <v>0</v>
      </c>
      <c r="Z318" s="12">
        <v>0</v>
      </c>
      <c r="AA318" s="12">
        <v>0</v>
      </c>
      <c r="AB318" s="12">
        <v>0</v>
      </c>
      <c r="AC318" s="26"/>
      <c r="AD318" s="26"/>
    </row>
    <row r="319" spans="1:30" ht="9" customHeight="1" x14ac:dyDescent="0.25">
      <c r="A319" s="17">
        <v>316</v>
      </c>
      <c r="D319" s="9"/>
      <c r="E319" s="9"/>
      <c r="F319" s="11">
        <v>0</v>
      </c>
      <c r="G319" s="11">
        <v>0</v>
      </c>
      <c r="H319" s="11">
        <v>0</v>
      </c>
      <c r="I319" s="11">
        <v>0</v>
      </c>
      <c r="J319" s="11">
        <v>0</v>
      </c>
      <c r="K319" s="11">
        <v>0</v>
      </c>
      <c r="L319" s="11">
        <v>0</v>
      </c>
      <c r="M319" s="11">
        <v>0</v>
      </c>
      <c r="N319" s="11">
        <v>0</v>
      </c>
      <c r="O319" s="11">
        <v>0</v>
      </c>
      <c r="P319" s="11">
        <v>0</v>
      </c>
      <c r="Q319" s="11">
        <v>0</v>
      </c>
      <c r="R319" s="11">
        <v>0</v>
      </c>
      <c r="S319" s="11">
        <v>0</v>
      </c>
      <c r="T319" s="11">
        <v>0</v>
      </c>
      <c r="U319" s="11">
        <v>0</v>
      </c>
      <c r="V319" s="11">
        <v>0</v>
      </c>
      <c r="W319" s="11">
        <v>0</v>
      </c>
      <c r="X319" s="11">
        <v>0</v>
      </c>
      <c r="Y319" s="11">
        <v>0</v>
      </c>
      <c r="Z319" s="11">
        <v>0</v>
      </c>
      <c r="AA319" s="11">
        <v>0</v>
      </c>
      <c r="AB319" s="11">
        <v>0</v>
      </c>
      <c r="AC319" s="26"/>
      <c r="AD319" s="26"/>
    </row>
    <row r="320" spans="1:30" x14ac:dyDescent="0.25"/>
  </sheetData>
  <mergeCells count="1">
    <mergeCell ref="Z2:AB2"/>
  </mergeCells>
  <conditionalFormatting sqref="F16:AB16">
    <cfRule type="cellIs" dxfId="44" priority="47" operator="notEqual">
      <formula>0</formula>
    </cfRule>
  </conditionalFormatting>
  <conditionalFormatting sqref="F27:AB27">
    <cfRule type="cellIs" dxfId="43" priority="46" operator="notEqual">
      <formula>0</formula>
    </cfRule>
  </conditionalFormatting>
  <conditionalFormatting sqref="F38:AB38">
    <cfRule type="cellIs" dxfId="42" priority="45" operator="notEqual">
      <formula>0</formula>
    </cfRule>
  </conditionalFormatting>
  <conditionalFormatting sqref="F49:AB49">
    <cfRule type="cellIs" dxfId="41" priority="44" operator="notEqual">
      <formula>0</formula>
    </cfRule>
  </conditionalFormatting>
  <conditionalFormatting sqref="F61:AB62">
    <cfRule type="cellIs" dxfId="40" priority="4" operator="notEqual">
      <formula>0</formula>
    </cfRule>
  </conditionalFormatting>
  <conditionalFormatting sqref="F72:AB73">
    <cfRule type="cellIs" dxfId="39" priority="3" operator="notEqual">
      <formula>0</formula>
    </cfRule>
  </conditionalFormatting>
  <conditionalFormatting sqref="F83:AB84">
    <cfRule type="cellIs" dxfId="38" priority="2" operator="notEqual">
      <formula>0</formula>
    </cfRule>
  </conditionalFormatting>
  <conditionalFormatting sqref="F94:AB95">
    <cfRule type="cellIs" dxfId="37" priority="1" operator="notEqual">
      <formula>0</formula>
    </cfRule>
  </conditionalFormatting>
  <conditionalFormatting sqref="F106:AB106">
    <cfRule type="cellIs" dxfId="36" priority="31" operator="notEqual">
      <formula>0</formula>
    </cfRule>
  </conditionalFormatting>
  <conditionalFormatting sqref="F117:AB117">
    <cfRule type="cellIs" dxfId="35" priority="30" operator="notEqual">
      <formula>0</formula>
    </cfRule>
  </conditionalFormatting>
  <conditionalFormatting sqref="F128:AB128">
    <cfRule type="cellIs" dxfId="34" priority="29" operator="notEqual">
      <formula>0</formula>
    </cfRule>
  </conditionalFormatting>
  <conditionalFormatting sqref="F139:AB139">
    <cfRule type="cellIs" dxfId="33" priority="40" operator="notEqual">
      <formula>0</formula>
    </cfRule>
  </conditionalFormatting>
  <conditionalFormatting sqref="F151:AB151">
    <cfRule type="cellIs" dxfId="32" priority="27" operator="notEqual">
      <formula>0</formula>
    </cfRule>
  </conditionalFormatting>
  <conditionalFormatting sqref="F162:AB162">
    <cfRule type="cellIs" dxfId="31" priority="26" operator="notEqual">
      <formula>0</formula>
    </cfRule>
  </conditionalFormatting>
  <conditionalFormatting sqref="F173:AB173">
    <cfRule type="cellIs" dxfId="30" priority="25" operator="notEqual">
      <formula>0</formula>
    </cfRule>
  </conditionalFormatting>
  <conditionalFormatting sqref="F184:AB184">
    <cfRule type="cellIs" dxfId="29" priority="28" operator="notEqual">
      <formula>0</formula>
    </cfRule>
  </conditionalFormatting>
  <conditionalFormatting sqref="F196:AB196">
    <cfRule type="cellIs" dxfId="28" priority="23" operator="notEqual">
      <formula>0</formula>
    </cfRule>
  </conditionalFormatting>
  <conditionalFormatting sqref="F207:AB207">
    <cfRule type="cellIs" dxfId="27" priority="22" operator="notEqual">
      <formula>0</formula>
    </cfRule>
  </conditionalFormatting>
  <conditionalFormatting sqref="F218:AB218">
    <cfRule type="cellIs" dxfId="26" priority="21" operator="notEqual">
      <formula>0</formula>
    </cfRule>
  </conditionalFormatting>
  <conditionalFormatting sqref="F229:AB229">
    <cfRule type="cellIs" dxfId="25" priority="24" operator="notEqual">
      <formula>0</formula>
    </cfRule>
  </conditionalFormatting>
  <conditionalFormatting sqref="F241:AB241">
    <cfRule type="cellIs" dxfId="24" priority="39" operator="notEqual">
      <formula>0</formula>
    </cfRule>
  </conditionalFormatting>
  <conditionalFormatting sqref="F252:AB252">
    <cfRule type="cellIs" dxfId="23" priority="38" operator="notEqual">
      <formula>0</formula>
    </cfRule>
  </conditionalFormatting>
  <conditionalFormatting sqref="F263:AB263">
    <cfRule type="cellIs" dxfId="22" priority="37" operator="notEqual">
      <formula>0</formula>
    </cfRule>
  </conditionalFormatting>
  <conditionalFormatting sqref="F274:AB274">
    <cfRule type="cellIs" dxfId="21" priority="36" operator="notEqual">
      <formula>0</formula>
    </cfRule>
  </conditionalFormatting>
  <conditionalFormatting sqref="F286:AB286">
    <cfRule type="cellIs" dxfId="20" priority="35" operator="notEqual">
      <formula>0</formula>
    </cfRule>
  </conditionalFormatting>
  <conditionalFormatting sqref="F297:AB297">
    <cfRule type="cellIs" dxfId="19" priority="34" operator="notEqual">
      <formula>0</formula>
    </cfRule>
  </conditionalFormatting>
  <conditionalFormatting sqref="F308:AB308">
    <cfRule type="cellIs" dxfId="18" priority="33" operator="notEqual">
      <formula>0</formula>
    </cfRule>
  </conditionalFormatting>
  <conditionalFormatting sqref="F319:AB319">
    <cfRule type="cellIs" dxfId="17" priority="32" operator="notEqual">
      <formula>0</formula>
    </cfRule>
  </conditionalFormatting>
  <pageMargins left="0.7" right="0.7" top="0.75" bottom="0.75" header="0.3" footer="0.3"/>
  <pageSetup paperSize="8" scale="5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E5ECA-202D-46A8-9782-223412E46823}">
  <sheetPr codeName="Sheet5">
    <tabColor rgb="FF93AB9D"/>
    <pageSetUpPr fitToPage="1"/>
  </sheetPr>
  <dimension ref="A1:BE237"/>
  <sheetViews>
    <sheetView showGridLines="0" topLeftCell="B1" workbookViewId="0">
      <pane xSplit="4" ySplit="4" topLeftCell="F5" activePane="bottomRight" state="frozen"/>
      <selection activeCell="B2" sqref="B2"/>
      <selection pane="topRight" activeCell="B2" sqref="B2"/>
      <selection pane="bottomLeft" activeCell="B2" sqref="B2"/>
      <selection pane="bottomRight" activeCell="B1" sqref="B1"/>
    </sheetView>
  </sheetViews>
  <sheetFormatPr defaultColWidth="15.42578125" defaultRowHeight="15" zeroHeight="1" x14ac:dyDescent="0.25"/>
  <cols>
    <col min="1" max="1" customWidth="true" hidden="true" style="93" width="5.42578125" collapsed="false"/>
    <col min="2" max="3" customWidth="true" style="48" width="3.85546875" collapsed="false"/>
    <col min="4" max="4" customWidth="true" style="48" width="14.42578125" collapsed="false"/>
    <col min="5" max="5" customWidth="true" style="48" width="39.0" collapsed="false"/>
    <col min="6" max="24" customWidth="true" style="109" width="10.85546875" collapsed="false"/>
    <col min="25" max="25" customWidth="true" style="109" width="13.42578125" collapsed="false"/>
    <col min="26" max="28" customWidth="true" style="109" width="14.7109375" collapsed="false"/>
    <col min="29" max="16384" style="48" width="15.42578125" collapsed="false"/>
  </cols>
  <sheetData>
    <row r="1" spans="1:28" ht="60" customHeight="1" x14ac:dyDescent="0.25">
      <c r="B1" s="94" t="s">
        <v>82</v>
      </c>
      <c r="C1" s="94"/>
      <c r="D1" s="94"/>
      <c r="E1" s="94"/>
      <c r="F1" s="48"/>
      <c r="G1" s="48"/>
      <c r="H1" s="48"/>
      <c r="I1" s="48"/>
      <c r="J1" s="48"/>
      <c r="K1" s="48"/>
      <c r="L1" s="48"/>
      <c r="M1" s="48"/>
      <c r="N1" s="48"/>
      <c r="O1" s="48"/>
      <c r="P1" s="48"/>
      <c r="Q1" s="48"/>
      <c r="R1" s="48"/>
      <c r="S1" s="48"/>
      <c r="T1" s="48"/>
      <c r="U1" s="48"/>
      <c r="V1" s="48"/>
      <c r="W1" s="48"/>
      <c r="X1" s="48"/>
      <c r="Y1" s="48"/>
      <c r="Z1" s="48"/>
      <c r="AA1" s="48"/>
      <c r="AB1" s="48"/>
    </row>
    <row r="2" spans="1:28" ht="18" customHeight="1" x14ac:dyDescent="0.25">
      <c r="B2" s="95"/>
      <c r="C2" s="95"/>
      <c r="D2" s="95"/>
      <c r="F2" s="96">
        <v>2020</v>
      </c>
      <c r="G2" s="97"/>
      <c r="H2" s="98"/>
      <c r="I2" s="99"/>
      <c r="J2" s="96">
        <v>2021</v>
      </c>
      <c r="K2" s="97"/>
      <c r="L2" s="98"/>
      <c r="M2" s="98"/>
      <c r="N2" s="96">
        <v>2022</v>
      </c>
      <c r="O2" s="97"/>
      <c r="P2" s="98"/>
      <c r="Q2" s="98"/>
      <c r="R2" s="96">
        <v>2023</v>
      </c>
      <c r="S2" s="98"/>
      <c r="T2" s="98"/>
      <c r="U2" s="98"/>
      <c r="V2" s="96">
        <v>2024</v>
      </c>
      <c r="W2" s="98"/>
      <c r="X2" s="98"/>
      <c r="Y2" s="98"/>
      <c r="Z2" s="96">
        <v>2025</v>
      </c>
      <c r="AA2" s="98"/>
      <c r="AB2" s="98"/>
    </row>
    <row r="3" spans="1:28" ht="18" customHeight="1" x14ac:dyDescent="0.25">
      <c r="B3" s="100" t="s">
        <v>32</v>
      </c>
      <c r="C3" s="101"/>
      <c r="D3" s="101"/>
      <c r="F3" s="102" t="s">
        <v>2</v>
      </c>
      <c r="G3" s="103" t="s">
        <v>3</v>
      </c>
      <c r="H3" s="103" t="s">
        <v>4</v>
      </c>
      <c r="I3" s="104" t="s">
        <v>5</v>
      </c>
      <c r="J3" s="102" t="s">
        <v>2</v>
      </c>
      <c r="K3" s="103" t="s">
        <v>3</v>
      </c>
      <c r="L3" s="103" t="s">
        <v>4</v>
      </c>
      <c r="M3" s="103" t="s">
        <v>5</v>
      </c>
      <c r="N3" s="102" t="s">
        <v>2</v>
      </c>
      <c r="O3" s="103" t="s">
        <v>3</v>
      </c>
      <c r="P3" s="103" t="s">
        <v>4</v>
      </c>
      <c r="Q3" s="103" t="s">
        <v>5</v>
      </c>
      <c r="R3" s="102" t="s">
        <v>2</v>
      </c>
      <c r="S3" s="103" t="s">
        <v>3</v>
      </c>
      <c r="T3" s="103" t="s">
        <v>4</v>
      </c>
      <c r="U3" s="103" t="s">
        <v>5</v>
      </c>
      <c r="V3" s="102" t="s">
        <v>2</v>
      </c>
      <c r="W3" s="103" t="s">
        <v>3</v>
      </c>
      <c r="X3" s="103" t="s">
        <v>4</v>
      </c>
      <c r="Y3" s="103" t="s">
        <v>5</v>
      </c>
      <c r="Z3" s="102" t="s">
        <v>2</v>
      </c>
      <c r="AA3" s="102" t="s">
        <v>3</v>
      </c>
      <c r="AB3" s="102" t="s">
        <v>4</v>
      </c>
    </row>
    <row r="4" spans="1:28" ht="14.25" customHeight="1" x14ac:dyDescent="0.25">
      <c r="A4" s="93">
        <v>1</v>
      </c>
      <c r="E4" s="101"/>
      <c r="F4" s="106" t="s">
        <v>40</v>
      </c>
      <c r="G4" s="106" t="s">
        <v>41</v>
      </c>
      <c r="H4" s="106" t="s">
        <v>42</v>
      </c>
      <c r="I4" s="106" t="s">
        <v>43</v>
      </c>
      <c r="J4" s="106" t="s">
        <v>44</v>
      </c>
      <c r="K4" s="106" t="s">
        <v>45</v>
      </c>
      <c r="L4" s="106" t="s">
        <v>46</v>
      </c>
      <c r="M4" s="106" t="s">
        <v>47</v>
      </c>
      <c r="N4" s="106" t="s">
        <v>48</v>
      </c>
      <c r="O4" s="106" t="s">
        <v>49</v>
      </c>
      <c r="P4" s="106" t="s">
        <v>50</v>
      </c>
      <c r="Q4" s="106" t="s">
        <v>51</v>
      </c>
      <c r="R4" s="106" t="s">
        <v>52</v>
      </c>
      <c r="S4" s="106" t="s">
        <v>53</v>
      </c>
      <c r="T4" s="106" t="s">
        <v>54</v>
      </c>
      <c r="U4" s="106" t="s">
        <v>55</v>
      </c>
      <c r="V4" s="106" t="s">
        <v>61</v>
      </c>
      <c r="W4" s="106" t="s">
        <v>62</v>
      </c>
      <c r="X4" s="106" t="s">
        <v>76</v>
      </c>
      <c r="Y4" s="106" t="s">
        <v>77</v>
      </c>
      <c r="Z4" s="106" t="s">
        <v>78</v>
      </c>
      <c r="AA4" s="106" t="s">
        <v>80</v>
      </c>
      <c r="AB4" s="106" t="s">
        <v>81</v>
      </c>
    </row>
    <row r="5" spans="1:28" ht="35.1" customHeight="1" x14ac:dyDescent="0.3">
      <c r="A5" s="93">
        <v>2</v>
      </c>
      <c r="B5" s="107" t="s">
        <v>21</v>
      </c>
      <c r="C5" s="108"/>
      <c r="D5" s="108"/>
      <c r="Z5" s="106"/>
      <c r="AA5" s="106"/>
      <c r="AB5" s="106"/>
    </row>
    <row r="6" spans="1:28" ht="26.1" customHeight="1" x14ac:dyDescent="0.3">
      <c r="A6" s="93">
        <v>3</v>
      </c>
      <c r="B6" s="108"/>
      <c r="C6" s="110" t="s">
        <v>11</v>
      </c>
      <c r="D6" s="110"/>
    </row>
    <row r="7" spans="1:28" ht="18" customHeight="1" x14ac:dyDescent="0.25">
      <c r="A7" s="93">
        <v>4</v>
      </c>
      <c r="D7" s="112" t="s">
        <v>13</v>
      </c>
      <c r="E7" s="112" t="s">
        <v>35</v>
      </c>
      <c r="F7" s="113">
        <f>F8+F9+F13+F14</f>
        <v>-6.9023655174800504</v>
      </c>
      <c r="G7" s="113">
        <f t="shared" ref="G7:W7" si="0">G8+G9+G13+G14</f>
        <v>-7.4727861790214352</v>
      </c>
      <c r="H7" s="113">
        <f t="shared" si="0"/>
        <v>-14.432456590426435</v>
      </c>
      <c r="I7" s="113">
        <f t="shared" si="0"/>
        <v>-6.3953036411214361</v>
      </c>
      <c r="J7" s="113">
        <f t="shared" si="0"/>
        <v>-4.8131250955705891</v>
      </c>
      <c r="K7" s="113">
        <f t="shared" si="0"/>
        <v>-5.6428500668075268</v>
      </c>
      <c r="L7" s="113">
        <f t="shared" si="0"/>
        <v>23.018570303745769</v>
      </c>
      <c r="M7" s="113">
        <f t="shared" si="0"/>
        <v>-3.5841478506111484</v>
      </c>
      <c r="N7" s="113">
        <f t="shared" si="0"/>
        <v>-5.9195801921441253</v>
      </c>
      <c r="O7" s="113">
        <f t="shared" si="0"/>
        <v>-2.1075697074403474</v>
      </c>
      <c r="P7" s="113">
        <f t="shared" si="0"/>
        <v>0.99607930195042682</v>
      </c>
      <c r="Q7" s="113">
        <f t="shared" si="0"/>
        <v>-4.3762419007965461</v>
      </c>
      <c r="R7" s="113">
        <f t="shared" si="0"/>
        <v>-2.8116905181121834</v>
      </c>
      <c r="S7" s="113">
        <f t="shared" si="0"/>
        <v>-2.4388514802816235</v>
      </c>
      <c r="T7" s="113">
        <f t="shared" si="0"/>
        <v>-2.1424227477327578</v>
      </c>
      <c r="U7" s="113">
        <f t="shared" si="0"/>
        <v>-2.6750069447077331</v>
      </c>
      <c r="V7" s="113">
        <f t="shared" si="0"/>
        <v>-2.257690512745846</v>
      </c>
      <c r="W7" s="113">
        <f t="shared" si="0"/>
        <v>-1.8969691050822195</v>
      </c>
      <c r="X7" s="113">
        <f t="shared" ref="X7:Y7" si="1">X8+X9+X13+X14</f>
        <v>0</v>
      </c>
      <c r="Y7" s="113">
        <f t="shared" si="1"/>
        <v>0</v>
      </c>
      <c r="Z7" s="113">
        <f t="shared" ref="Z7:AA7" si="2">Z8+Z9+Z13+Z14</f>
        <v>0</v>
      </c>
      <c r="AA7" s="113">
        <f t="shared" si="2"/>
        <v>0</v>
      </c>
      <c r="AB7" s="113">
        <f t="shared" ref="AB7" si="3">AB8+AB9+AB13+AB14</f>
        <v>0</v>
      </c>
    </row>
    <row r="8" spans="1:28" x14ac:dyDescent="0.25">
      <c r="A8" s="93">
        <v>5</v>
      </c>
      <c r="D8" s="114" t="s">
        <v>14</v>
      </c>
      <c r="E8" s="114" t="s">
        <v>23</v>
      </c>
      <c r="F8" s="115"/>
      <c r="G8" s="115"/>
      <c r="H8" s="115"/>
      <c r="I8" s="115"/>
      <c r="J8" s="115"/>
      <c r="K8" s="115"/>
      <c r="L8" s="115"/>
      <c r="M8" s="115"/>
      <c r="N8" s="115"/>
      <c r="O8" s="115"/>
      <c r="P8" s="115"/>
      <c r="Q8" s="115"/>
      <c r="R8" s="115"/>
      <c r="S8" s="115"/>
      <c r="T8" s="115"/>
      <c r="U8" s="115"/>
      <c r="V8" s="115"/>
      <c r="W8" s="115"/>
      <c r="X8" s="115"/>
      <c r="Y8" s="115"/>
      <c r="Z8" s="115"/>
      <c r="AA8" s="115"/>
      <c r="AB8" s="115"/>
    </row>
    <row r="9" spans="1:28" x14ac:dyDescent="0.25">
      <c r="A9" s="93">
        <v>6</v>
      </c>
      <c r="D9" s="114" t="s">
        <v>15</v>
      </c>
      <c r="E9" s="114" t="s">
        <v>0</v>
      </c>
      <c r="F9" s="116">
        <f>SUM(F10:F12)</f>
        <v>-6.9023655174800504</v>
      </c>
      <c r="G9" s="116">
        <f t="shared" ref="G9:W9" si="4">SUM(G10:G12)</f>
        <v>-7.4727861790214352</v>
      </c>
      <c r="H9" s="116">
        <f t="shared" si="4"/>
        <v>-14.432456590426435</v>
      </c>
      <c r="I9" s="116">
        <f t="shared" si="4"/>
        <v>-6.3953036411214361</v>
      </c>
      <c r="J9" s="116">
        <f t="shared" si="4"/>
        <v>-4.8131250955705891</v>
      </c>
      <c r="K9" s="116">
        <f t="shared" si="4"/>
        <v>-5.6428500668075268</v>
      </c>
      <c r="L9" s="116">
        <f t="shared" si="4"/>
        <v>23.018570303745769</v>
      </c>
      <c r="M9" s="116">
        <f t="shared" si="4"/>
        <v>-3.5841478506111484</v>
      </c>
      <c r="N9" s="116">
        <f t="shared" si="4"/>
        <v>-5.9195801921441253</v>
      </c>
      <c r="O9" s="116">
        <f t="shared" si="4"/>
        <v>-2.1075697074403474</v>
      </c>
      <c r="P9" s="116">
        <f t="shared" si="4"/>
        <v>0.99607930195042682</v>
      </c>
      <c r="Q9" s="116">
        <f t="shared" si="4"/>
        <v>-4.3762419007965461</v>
      </c>
      <c r="R9" s="116">
        <f t="shared" si="4"/>
        <v>-2.8116905181121834</v>
      </c>
      <c r="S9" s="116">
        <f t="shared" si="4"/>
        <v>-2.4388514802816235</v>
      </c>
      <c r="T9" s="116">
        <f t="shared" si="4"/>
        <v>-2.1424227477327578</v>
      </c>
      <c r="U9" s="116">
        <f t="shared" si="4"/>
        <v>-2.6750069447077331</v>
      </c>
      <c r="V9" s="116">
        <f t="shared" si="4"/>
        <v>-2.257690512745846</v>
      </c>
      <c r="W9" s="116">
        <f t="shared" si="4"/>
        <v>-1.8969691050822195</v>
      </c>
      <c r="X9" s="116">
        <f t="shared" ref="X9:Y9" si="5">SUM(X10:X12)</f>
        <v>0</v>
      </c>
      <c r="Y9" s="116">
        <f t="shared" si="5"/>
        <v>0</v>
      </c>
      <c r="Z9" s="116">
        <f t="shared" ref="Z9:AA9" si="6">SUM(Z10:Z12)</f>
        <v>0</v>
      </c>
      <c r="AA9" s="116">
        <f t="shared" si="6"/>
        <v>0</v>
      </c>
      <c r="AB9" s="116">
        <f t="shared" ref="AB9" si="7">SUM(AB10:AB12)</f>
        <v>0</v>
      </c>
    </row>
    <row r="10" spans="1:28" x14ac:dyDescent="0.25">
      <c r="A10" s="93">
        <v>7</v>
      </c>
      <c r="D10" s="117" t="s">
        <v>26</v>
      </c>
      <c r="E10" s="117" t="s">
        <v>25</v>
      </c>
      <c r="F10" s="118">
        <v>-7.7963255174800512</v>
      </c>
      <c r="G10" s="118">
        <v>-7.4727861790214352</v>
      </c>
      <c r="H10" s="118">
        <v>-8.1484965904264346</v>
      </c>
      <c r="I10" s="118">
        <v>-6.3953036411214361</v>
      </c>
      <c r="J10" s="118">
        <v>-4.8131250955705891</v>
      </c>
      <c r="K10" s="118">
        <v>-5.6428500668075268</v>
      </c>
      <c r="L10" s="118">
        <v>23.018570303745769</v>
      </c>
      <c r="M10" s="118">
        <v>-3.5841478506111484</v>
      </c>
      <c r="N10" s="118">
        <v>-5.9195801921441253</v>
      </c>
      <c r="O10" s="118">
        <v>-2.1075697074403474</v>
      </c>
      <c r="P10" s="118">
        <v>0.79607930195042675</v>
      </c>
      <c r="Q10" s="118">
        <v>-4.3762419007965461</v>
      </c>
      <c r="R10" s="118">
        <v>-2.8116905181121834</v>
      </c>
      <c r="S10" s="118">
        <v>-2.4388514802816235</v>
      </c>
      <c r="T10" s="118">
        <v>-2.1424227477327578</v>
      </c>
      <c r="U10" s="118">
        <v>-2.6750069447077331</v>
      </c>
      <c r="V10" s="118">
        <v>-2.257690512745846</v>
      </c>
      <c r="W10" s="118">
        <v>-1.8969691050822195</v>
      </c>
      <c r="X10" s="118">
        <v>0</v>
      </c>
      <c r="Y10" s="118">
        <v>0</v>
      </c>
      <c r="Z10" s="118">
        <v>0</v>
      </c>
      <c r="AA10" s="118">
        <v>0</v>
      </c>
      <c r="AB10" s="118">
        <v>0</v>
      </c>
    </row>
    <row r="11" spans="1:28" x14ac:dyDescent="0.25">
      <c r="A11" s="93">
        <v>8</v>
      </c>
      <c r="D11" s="117" t="s">
        <v>16</v>
      </c>
      <c r="E11" s="117" t="s">
        <v>27</v>
      </c>
      <c r="F11" s="118">
        <v>0</v>
      </c>
      <c r="G11" s="118">
        <v>0</v>
      </c>
      <c r="H11" s="118">
        <v>0</v>
      </c>
      <c r="I11" s="118">
        <v>0</v>
      </c>
      <c r="J11" s="118">
        <v>0</v>
      </c>
      <c r="K11" s="118">
        <v>0</v>
      </c>
      <c r="L11" s="118">
        <v>0</v>
      </c>
      <c r="M11" s="118">
        <v>0</v>
      </c>
      <c r="N11" s="118">
        <v>0</v>
      </c>
      <c r="O11" s="118">
        <v>0</v>
      </c>
      <c r="P11" s="118">
        <v>0.2</v>
      </c>
      <c r="Q11" s="118">
        <v>0</v>
      </c>
      <c r="R11" s="118">
        <v>0</v>
      </c>
      <c r="S11" s="118">
        <v>0</v>
      </c>
      <c r="T11" s="118">
        <v>0</v>
      </c>
      <c r="U11" s="118">
        <v>0</v>
      </c>
      <c r="V11" s="118">
        <v>0</v>
      </c>
      <c r="W11" s="118">
        <v>0</v>
      </c>
      <c r="X11" s="118">
        <v>0</v>
      </c>
      <c r="Y11" s="118">
        <v>0</v>
      </c>
      <c r="Z11" s="118">
        <v>0</v>
      </c>
      <c r="AA11" s="118">
        <v>0</v>
      </c>
      <c r="AB11" s="118">
        <v>0</v>
      </c>
    </row>
    <row r="12" spans="1:28" x14ac:dyDescent="0.25">
      <c r="A12" s="93">
        <v>9</v>
      </c>
      <c r="D12" s="117" t="s">
        <v>17</v>
      </c>
      <c r="E12" s="117" t="s">
        <v>28</v>
      </c>
      <c r="F12" s="118">
        <v>0.89396000000000075</v>
      </c>
      <c r="G12" s="118">
        <v>0</v>
      </c>
      <c r="H12" s="118">
        <v>-6.2839600000000004</v>
      </c>
      <c r="I12" s="118">
        <v>0</v>
      </c>
      <c r="J12" s="118">
        <v>0</v>
      </c>
      <c r="K12" s="118">
        <v>0</v>
      </c>
      <c r="L12" s="118">
        <v>0</v>
      </c>
      <c r="M12" s="118">
        <v>0</v>
      </c>
      <c r="N12" s="118">
        <v>0</v>
      </c>
      <c r="O12" s="118">
        <v>0</v>
      </c>
      <c r="P12" s="118">
        <v>0</v>
      </c>
      <c r="Q12" s="118">
        <v>0</v>
      </c>
      <c r="R12" s="118">
        <v>0</v>
      </c>
      <c r="S12" s="118">
        <v>0</v>
      </c>
      <c r="T12" s="118">
        <v>0</v>
      </c>
      <c r="U12" s="118">
        <v>0</v>
      </c>
      <c r="V12" s="118">
        <v>0</v>
      </c>
      <c r="W12" s="118">
        <v>0</v>
      </c>
      <c r="X12" s="118">
        <v>0</v>
      </c>
      <c r="Y12" s="118">
        <v>0</v>
      </c>
      <c r="Z12" s="118">
        <v>0</v>
      </c>
      <c r="AA12" s="118">
        <v>0</v>
      </c>
      <c r="AB12" s="118">
        <v>0</v>
      </c>
    </row>
    <row r="13" spans="1:28" x14ac:dyDescent="0.25">
      <c r="A13" s="93">
        <v>10</v>
      </c>
      <c r="D13" s="114" t="s">
        <v>1</v>
      </c>
      <c r="E13" s="114" t="s">
        <v>29</v>
      </c>
      <c r="F13" s="116">
        <v>0</v>
      </c>
      <c r="G13" s="116">
        <v>0</v>
      </c>
      <c r="H13" s="116">
        <v>0</v>
      </c>
      <c r="I13" s="116">
        <v>0</v>
      </c>
      <c r="J13" s="116">
        <v>0</v>
      </c>
      <c r="K13" s="116">
        <v>0</v>
      </c>
      <c r="L13" s="116">
        <v>0</v>
      </c>
      <c r="M13" s="116">
        <v>0</v>
      </c>
      <c r="N13" s="116">
        <v>0</v>
      </c>
      <c r="O13" s="116">
        <v>0</v>
      </c>
      <c r="P13" s="116">
        <v>0</v>
      </c>
      <c r="Q13" s="116">
        <v>0</v>
      </c>
      <c r="R13" s="116">
        <v>0</v>
      </c>
      <c r="S13" s="116">
        <v>0</v>
      </c>
      <c r="T13" s="116">
        <v>0</v>
      </c>
      <c r="U13" s="116">
        <v>0</v>
      </c>
      <c r="V13" s="116">
        <v>0</v>
      </c>
      <c r="W13" s="116">
        <v>0</v>
      </c>
      <c r="X13" s="116">
        <v>0</v>
      </c>
      <c r="Y13" s="116">
        <v>0</v>
      </c>
      <c r="Z13" s="116">
        <v>0</v>
      </c>
      <c r="AA13" s="116">
        <v>0</v>
      </c>
      <c r="AB13" s="116">
        <v>0</v>
      </c>
    </row>
    <row r="14" spans="1:28" x14ac:dyDescent="0.25">
      <c r="A14" s="93">
        <v>11</v>
      </c>
      <c r="D14" s="114" t="s">
        <v>30</v>
      </c>
      <c r="E14" s="114" t="s">
        <v>31</v>
      </c>
      <c r="F14" s="116">
        <v>0</v>
      </c>
      <c r="G14" s="116">
        <v>0</v>
      </c>
      <c r="H14" s="116">
        <v>0</v>
      </c>
      <c r="I14" s="116">
        <v>0</v>
      </c>
      <c r="J14" s="116">
        <v>0</v>
      </c>
      <c r="K14" s="116">
        <v>0</v>
      </c>
      <c r="L14" s="116">
        <v>0</v>
      </c>
      <c r="M14" s="116">
        <v>0</v>
      </c>
      <c r="N14" s="116">
        <v>0</v>
      </c>
      <c r="O14" s="116">
        <v>0</v>
      </c>
      <c r="P14" s="116">
        <v>0</v>
      </c>
      <c r="Q14" s="116">
        <v>0</v>
      </c>
      <c r="R14" s="116">
        <v>0</v>
      </c>
      <c r="S14" s="116">
        <v>0</v>
      </c>
      <c r="T14" s="116">
        <v>0</v>
      </c>
      <c r="U14" s="116">
        <v>0</v>
      </c>
      <c r="V14" s="116">
        <v>0</v>
      </c>
      <c r="W14" s="116">
        <v>0</v>
      </c>
      <c r="X14" s="116">
        <v>0</v>
      </c>
      <c r="Y14" s="116">
        <v>0</v>
      </c>
      <c r="Z14" s="116">
        <v>0</v>
      </c>
      <c r="AA14" s="116">
        <v>0</v>
      </c>
      <c r="AB14" s="116">
        <v>0</v>
      </c>
    </row>
    <row r="15" spans="1:28" ht="15.75" x14ac:dyDescent="0.25">
      <c r="A15" s="93">
        <v>12</v>
      </c>
      <c r="D15" s="112" t="s">
        <v>19</v>
      </c>
      <c r="E15" s="112" t="s">
        <v>22</v>
      </c>
      <c r="F15" s="113">
        <v>-41.864487692307677</v>
      </c>
      <c r="G15" s="113">
        <v>-126.11171362637366</v>
      </c>
      <c r="H15" s="113">
        <v>-89.058751630434784</v>
      </c>
      <c r="I15" s="113">
        <v>-20.729893608695654</v>
      </c>
      <c r="J15" s="113">
        <v>4.7229542999999996</v>
      </c>
      <c r="K15" s="113">
        <v>-47.241520879120834</v>
      </c>
      <c r="L15" s="113">
        <v>105.9347571739131</v>
      </c>
      <c r="M15" s="113">
        <v>459.54513850000012</v>
      </c>
      <c r="N15" s="113">
        <v>108.56642666666666</v>
      </c>
      <c r="O15" s="113">
        <v>-678.30564998901116</v>
      </c>
      <c r="P15" s="113">
        <v>934.91804823913003</v>
      </c>
      <c r="Q15" s="113">
        <v>-1048.7532065217395</v>
      </c>
      <c r="R15" s="113">
        <v>33.921570000000017</v>
      </c>
      <c r="S15" s="113">
        <v>-35.364115120879099</v>
      </c>
      <c r="T15" s="113">
        <v>1.4338339130434781</v>
      </c>
      <c r="U15" s="113">
        <v>0.17935655434782596</v>
      </c>
      <c r="V15" s="113">
        <v>0</v>
      </c>
      <c r="W15" s="113">
        <v>0</v>
      </c>
      <c r="X15" s="113">
        <v>0</v>
      </c>
      <c r="Y15" s="113">
        <v>0</v>
      </c>
      <c r="Z15" s="113">
        <v>0</v>
      </c>
      <c r="AA15" s="113">
        <v>0</v>
      </c>
      <c r="AB15" s="113">
        <v>0</v>
      </c>
    </row>
    <row r="16" spans="1:28" ht="9" customHeight="1" x14ac:dyDescent="0.25">
      <c r="A16" s="93">
        <v>13</v>
      </c>
      <c r="D16" s="119"/>
      <c r="E16" s="119"/>
      <c r="F16" s="120">
        <v>0</v>
      </c>
      <c r="G16" s="120">
        <v>0</v>
      </c>
      <c r="H16" s="120">
        <v>0</v>
      </c>
      <c r="I16" s="120">
        <v>0</v>
      </c>
      <c r="J16" s="120">
        <v>0</v>
      </c>
      <c r="K16" s="120">
        <v>0</v>
      </c>
      <c r="L16" s="120">
        <v>0</v>
      </c>
      <c r="M16" s="120">
        <v>0</v>
      </c>
      <c r="N16" s="120">
        <v>0</v>
      </c>
      <c r="O16" s="120">
        <v>0</v>
      </c>
      <c r="P16" s="120">
        <v>0</v>
      </c>
      <c r="Q16" s="120">
        <v>0</v>
      </c>
      <c r="R16" s="120">
        <v>0</v>
      </c>
      <c r="S16" s="120">
        <v>0</v>
      </c>
      <c r="T16" s="120">
        <v>0</v>
      </c>
      <c r="U16" s="120">
        <v>0</v>
      </c>
      <c r="V16" s="120">
        <v>0</v>
      </c>
      <c r="W16" s="120">
        <v>0</v>
      </c>
      <c r="X16" s="120">
        <v>0</v>
      </c>
      <c r="Y16" s="120">
        <v>0</v>
      </c>
      <c r="Z16" s="120">
        <v>0</v>
      </c>
      <c r="AA16" s="120">
        <v>0</v>
      </c>
      <c r="AB16" s="120">
        <v>0</v>
      </c>
    </row>
    <row r="17" spans="1:28" ht="26.1" customHeight="1" x14ac:dyDescent="0.3">
      <c r="A17" s="93">
        <v>14</v>
      </c>
      <c r="B17" s="108"/>
      <c r="C17" s="110" t="s">
        <v>6</v>
      </c>
      <c r="D17" s="110"/>
      <c r="F17" s="111"/>
      <c r="G17" s="111"/>
      <c r="H17" s="111"/>
      <c r="I17" s="111"/>
      <c r="J17" s="111"/>
      <c r="K17" s="111"/>
      <c r="L17" s="111"/>
      <c r="M17" s="111"/>
      <c r="N17" s="111"/>
      <c r="O17" s="111"/>
      <c r="P17" s="111"/>
      <c r="Q17" s="111"/>
      <c r="R17" s="111"/>
      <c r="S17" s="111"/>
      <c r="T17" s="111"/>
      <c r="U17" s="111"/>
      <c r="V17" s="111"/>
      <c r="W17" s="111"/>
      <c r="X17" s="111"/>
      <c r="Y17" s="111"/>
      <c r="Z17" s="111"/>
      <c r="AA17" s="111"/>
      <c r="AB17" s="111"/>
    </row>
    <row r="18" spans="1:28" ht="18" customHeight="1" x14ac:dyDescent="0.25">
      <c r="A18" s="93">
        <v>15</v>
      </c>
      <c r="D18" s="112" t="s">
        <v>13</v>
      </c>
      <c r="E18" s="112" t="s">
        <v>35</v>
      </c>
      <c r="F18" s="113">
        <f>F19+F20+F24+F25</f>
        <v>1091.166323572829</v>
      </c>
      <c r="G18" s="113">
        <f t="shared" ref="G18:W18" si="8">G19+G20+G24+G25</f>
        <v>63.125343595496624</v>
      </c>
      <c r="H18" s="113">
        <f t="shared" si="8"/>
        <v>863.13601709669615</v>
      </c>
      <c r="I18" s="113">
        <f t="shared" si="8"/>
        <v>507.22531696394356</v>
      </c>
      <c r="J18" s="113">
        <f t="shared" si="8"/>
        <v>-112.11115412797201</v>
      </c>
      <c r="K18" s="113">
        <f t="shared" si="8"/>
        <v>623.98938519322849</v>
      </c>
      <c r="L18" s="113">
        <f t="shared" si="8"/>
        <v>919.47490905385803</v>
      </c>
      <c r="M18" s="113">
        <f t="shared" si="8"/>
        <v>1385.248546783545</v>
      </c>
      <c r="N18" s="113">
        <f t="shared" si="8"/>
        <v>1234.3740672982128</v>
      </c>
      <c r="O18" s="113">
        <f t="shared" si="8"/>
        <v>2256.5064777483149</v>
      </c>
      <c r="P18" s="113">
        <f t="shared" si="8"/>
        <v>595.12988572589654</v>
      </c>
      <c r="Q18" s="113">
        <f t="shared" si="8"/>
        <v>2218.062759579203</v>
      </c>
      <c r="R18" s="113">
        <f t="shared" si="8"/>
        <v>-636.97527170782087</v>
      </c>
      <c r="S18" s="113">
        <f t="shared" si="8"/>
        <v>381.6576956438488</v>
      </c>
      <c r="T18" s="113">
        <f t="shared" si="8"/>
        <v>-270.16849601396791</v>
      </c>
      <c r="U18" s="113">
        <f t="shared" si="8"/>
        <v>1180.5067855080915</v>
      </c>
      <c r="V18" s="113">
        <f t="shared" si="8"/>
        <v>1417.851513294821</v>
      </c>
      <c r="W18" s="113">
        <f t="shared" si="8"/>
        <v>2677.029529258366</v>
      </c>
      <c r="X18" s="113">
        <f t="shared" ref="X18:Y18" si="9">X19+X20+X24+X25</f>
        <v>1930.9202262394738</v>
      </c>
      <c r="Y18" s="113">
        <f t="shared" si="9"/>
        <v>2984.9263783193819</v>
      </c>
      <c r="Z18" s="113">
        <f t="shared" ref="Z18:AA18" si="10">Z19+Z20+Z24+Z25</f>
        <v>1399.7968059635386</v>
      </c>
      <c r="AA18" s="113">
        <f t="shared" si="10"/>
        <v>3021.8385396913241</v>
      </c>
      <c r="AB18" s="113">
        <f t="shared" ref="AB18" si="11">AB19+AB20+AB24+AB25</f>
        <v>1502.4987023441968</v>
      </c>
    </row>
    <row r="19" spans="1:28" x14ac:dyDescent="0.25">
      <c r="A19" s="93">
        <v>16</v>
      </c>
      <c r="D19" s="114" t="s">
        <v>14</v>
      </c>
      <c r="E19" s="114" t="s">
        <v>23</v>
      </c>
      <c r="F19" s="115"/>
      <c r="G19" s="115"/>
      <c r="H19" s="115"/>
      <c r="I19" s="115"/>
      <c r="J19" s="115"/>
      <c r="K19" s="115"/>
      <c r="L19" s="115"/>
      <c r="M19" s="115"/>
      <c r="N19" s="115"/>
      <c r="O19" s="115"/>
      <c r="P19" s="115"/>
      <c r="Q19" s="115"/>
      <c r="R19" s="115"/>
      <c r="S19" s="115"/>
      <c r="T19" s="115"/>
      <c r="U19" s="115"/>
      <c r="V19" s="115"/>
      <c r="W19" s="115"/>
      <c r="X19" s="115"/>
      <c r="Y19" s="115"/>
      <c r="Z19" s="115"/>
      <c r="AA19" s="115"/>
      <c r="AB19" s="115"/>
    </row>
    <row r="20" spans="1:28" x14ac:dyDescent="0.25">
      <c r="A20" s="93">
        <v>17</v>
      </c>
      <c r="D20" s="114" t="s">
        <v>15</v>
      </c>
      <c r="E20" s="114" t="s">
        <v>0</v>
      </c>
      <c r="F20" s="116">
        <f>SUM(F21:F23)</f>
        <v>860.22617557282888</v>
      </c>
      <c r="G20" s="116">
        <f t="shared" ref="G20:W20" si="12">SUM(G21:G23)</f>
        <v>-39.810121404502034</v>
      </c>
      <c r="H20" s="116">
        <f t="shared" si="12"/>
        <v>742.36434209669801</v>
      </c>
      <c r="I20" s="116">
        <f t="shared" si="12"/>
        <v>438.84057196394258</v>
      </c>
      <c r="J20" s="116">
        <f t="shared" si="12"/>
        <v>-205.14383712797556</v>
      </c>
      <c r="K20" s="116">
        <f t="shared" si="12"/>
        <v>766.05657629674477</v>
      </c>
      <c r="L20" s="116">
        <f t="shared" si="12"/>
        <v>943.48435419940711</v>
      </c>
      <c r="M20" s="116">
        <f t="shared" si="12"/>
        <v>1211.445183534478</v>
      </c>
      <c r="N20" s="116">
        <f t="shared" si="12"/>
        <v>292.24559362735829</v>
      </c>
      <c r="O20" s="116">
        <f t="shared" si="12"/>
        <v>1058.1718798734933</v>
      </c>
      <c r="P20" s="116">
        <f t="shared" si="12"/>
        <v>-262.6015555369421</v>
      </c>
      <c r="Q20" s="116">
        <f t="shared" si="12"/>
        <v>1109.6119062962653</v>
      </c>
      <c r="R20" s="116">
        <f t="shared" si="12"/>
        <v>16.827084565117687</v>
      </c>
      <c r="S20" s="116">
        <f t="shared" si="12"/>
        <v>802.9976798666886</v>
      </c>
      <c r="T20" s="116">
        <f t="shared" si="12"/>
        <v>196.55640123887667</v>
      </c>
      <c r="U20" s="116">
        <f t="shared" si="12"/>
        <v>1529.8318391509254</v>
      </c>
      <c r="V20" s="116">
        <f t="shared" si="12"/>
        <v>900.81801270997528</v>
      </c>
      <c r="W20" s="116">
        <f t="shared" si="12"/>
        <v>2163.1469611835187</v>
      </c>
      <c r="X20" s="116">
        <f t="shared" ref="X20:Y20" si="13">SUM(X21:X23)</f>
        <v>1561.4066847846277</v>
      </c>
      <c r="Y20" s="116">
        <f t="shared" si="13"/>
        <v>2518.3112899645321</v>
      </c>
      <c r="Z20" s="116">
        <f t="shared" ref="Z20:AA20" si="14">SUM(Z21:Z23)</f>
        <v>2339.8789806980362</v>
      </c>
      <c r="AA20" s="116">
        <f t="shared" si="14"/>
        <v>2635.5658870975399</v>
      </c>
      <c r="AB20" s="116">
        <f t="shared" ref="AB20" si="15">SUM(AB21:AB23)</f>
        <v>1557.8648817338872</v>
      </c>
    </row>
    <row r="21" spans="1:28" x14ac:dyDescent="0.25">
      <c r="A21" s="93">
        <v>18</v>
      </c>
      <c r="D21" s="117" t="s">
        <v>26</v>
      </c>
      <c r="E21" s="117" t="s">
        <v>25</v>
      </c>
      <c r="F21" s="118">
        <v>864.68564006260283</v>
      </c>
      <c r="G21" s="118">
        <v>7.4381915659737867</v>
      </c>
      <c r="H21" s="118">
        <v>699.43313270381577</v>
      </c>
      <c r="I21" s="118">
        <v>347.49489700604113</v>
      </c>
      <c r="J21" s="118">
        <v>-217.14227466604396</v>
      </c>
      <c r="K21" s="118">
        <v>649.35839739975518</v>
      </c>
      <c r="L21" s="118">
        <v>1001.9851353068292</v>
      </c>
      <c r="M21" s="118">
        <v>1046.2930990762636</v>
      </c>
      <c r="N21" s="118">
        <v>142.03930245070296</v>
      </c>
      <c r="O21" s="118">
        <v>798.62074881085732</v>
      </c>
      <c r="P21" s="118">
        <v>-310.39729738039273</v>
      </c>
      <c r="Q21" s="118">
        <v>850.19522142626545</v>
      </c>
      <c r="R21" s="118">
        <v>-374.31978878616076</v>
      </c>
      <c r="S21" s="118">
        <v>401.95909377668858</v>
      </c>
      <c r="T21" s="118">
        <v>64.763831193192118</v>
      </c>
      <c r="U21" s="118">
        <v>1272.2439221089094</v>
      </c>
      <c r="V21" s="118">
        <v>688.25732827997513</v>
      </c>
      <c r="W21" s="118">
        <v>1826.1816759535186</v>
      </c>
      <c r="X21" s="118">
        <v>1503.0353723546282</v>
      </c>
      <c r="Y21" s="118">
        <v>2230.044536951676</v>
      </c>
      <c r="Z21" s="118">
        <v>2292.4615825824062</v>
      </c>
      <c r="AA21" s="118">
        <v>2413.111480976881</v>
      </c>
      <c r="AB21" s="118">
        <v>1472.4889902531797</v>
      </c>
    </row>
    <row r="22" spans="1:28" x14ac:dyDescent="0.25">
      <c r="A22" s="93">
        <v>19</v>
      </c>
      <c r="D22" s="117" t="s">
        <v>16</v>
      </c>
      <c r="E22" s="117" t="s">
        <v>27</v>
      </c>
      <c r="F22" s="118">
        <v>40.76375445465483</v>
      </c>
      <c r="G22" s="118">
        <v>-47.885399036921498</v>
      </c>
      <c r="H22" s="118">
        <v>43.432067942089716</v>
      </c>
      <c r="I22" s="118">
        <v>92.639966867444258</v>
      </c>
      <c r="J22" s="118">
        <v>13.213262352095001</v>
      </c>
      <c r="K22" s="118">
        <v>116.19398052354327</v>
      </c>
      <c r="L22" s="118">
        <v>-57.925888007796473</v>
      </c>
      <c r="M22" s="118">
        <v>166.49686926938313</v>
      </c>
      <c r="N22" s="118">
        <v>150.59537517450065</v>
      </c>
      <c r="O22" s="118">
        <v>259.72867643538427</v>
      </c>
      <c r="P22" s="118">
        <v>47.911094225215081</v>
      </c>
      <c r="Q22" s="118">
        <v>259.09821299999999</v>
      </c>
      <c r="R22" s="118">
        <v>404.38978538127844</v>
      </c>
      <c r="S22" s="118">
        <v>401.09039700000005</v>
      </c>
      <c r="T22" s="118">
        <v>131.83645533568458</v>
      </c>
      <c r="U22" s="118">
        <v>257.62240045201588</v>
      </c>
      <c r="V22" s="118">
        <v>212.59124000000017</v>
      </c>
      <c r="W22" s="118">
        <v>336.99573700000019</v>
      </c>
      <c r="X22" s="118">
        <v>58.401867999999581</v>
      </c>
      <c r="Y22" s="118">
        <v>288.29732968285595</v>
      </c>
      <c r="Z22" s="118">
        <v>47.448411385629946</v>
      </c>
      <c r="AA22" s="118">
        <v>222.48431810065918</v>
      </c>
      <c r="AB22" s="118">
        <v>85.406554200707376</v>
      </c>
    </row>
    <row r="23" spans="1:28" x14ac:dyDescent="0.25">
      <c r="A23" s="93">
        <v>20</v>
      </c>
      <c r="D23" s="117" t="s">
        <v>17</v>
      </c>
      <c r="E23" s="117" t="s">
        <v>28</v>
      </c>
      <c r="F23" s="118">
        <v>-45.223218944428822</v>
      </c>
      <c r="G23" s="118">
        <v>0.63708606644567878</v>
      </c>
      <c r="H23" s="118">
        <v>-0.5008585492074431</v>
      </c>
      <c r="I23" s="118">
        <v>-1.2942919095428622</v>
      </c>
      <c r="J23" s="118">
        <v>-1.2148248140265931</v>
      </c>
      <c r="K23" s="118">
        <v>0.50419837344631291</v>
      </c>
      <c r="L23" s="118">
        <v>-0.57489309962551571</v>
      </c>
      <c r="M23" s="118">
        <v>-1.3447848111686587</v>
      </c>
      <c r="N23" s="118">
        <v>-0.38908399784529457</v>
      </c>
      <c r="O23" s="118">
        <v>-0.17754537274817128</v>
      </c>
      <c r="P23" s="118">
        <v>-0.11535238176445095</v>
      </c>
      <c r="Q23" s="118">
        <v>0.31847186999999755</v>
      </c>
      <c r="R23" s="118">
        <v>-13.242912029999999</v>
      </c>
      <c r="S23" s="118">
        <v>-5.1810909999996435E-2</v>
      </c>
      <c r="T23" s="118">
        <v>-4.3885290000006572E-2</v>
      </c>
      <c r="U23" s="118">
        <v>-3.4483409999996384E-2</v>
      </c>
      <c r="V23" s="118">
        <v>-3.0555569999997034E-2</v>
      </c>
      <c r="W23" s="118">
        <v>-3.0451770000000017E-2</v>
      </c>
      <c r="X23" s="118">
        <v>-3.0555569999999976E-2</v>
      </c>
      <c r="Y23" s="118">
        <v>-3.0576670000000028E-2</v>
      </c>
      <c r="Z23" s="118">
        <v>-3.1013270000011917E-2</v>
      </c>
      <c r="AA23" s="118">
        <v>-2.991197999998807E-2</v>
      </c>
      <c r="AB23" s="118">
        <v>-3.0662720000000004E-2</v>
      </c>
    </row>
    <row r="24" spans="1:28" x14ac:dyDescent="0.25">
      <c r="A24" s="93">
        <v>21</v>
      </c>
      <c r="D24" s="114" t="s">
        <v>1</v>
      </c>
      <c r="E24" s="114" t="s">
        <v>29</v>
      </c>
      <c r="F24" s="116">
        <v>230.94014800000014</v>
      </c>
      <c r="G24" s="116">
        <v>102.93546499999866</v>
      </c>
      <c r="H24" s="116">
        <v>120.77167499999814</v>
      </c>
      <c r="I24" s="116">
        <v>68.384745000000976</v>
      </c>
      <c r="J24" s="116">
        <v>93.032683000003544</v>
      </c>
      <c r="K24" s="116">
        <v>-142.06719110351628</v>
      </c>
      <c r="L24" s="116">
        <v>-24.00944514554908</v>
      </c>
      <c r="M24" s="116">
        <v>173.80336324906705</v>
      </c>
      <c r="N24" s="116">
        <v>942.12847367085453</v>
      </c>
      <c r="O24" s="116">
        <v>1198.3345978748218</v>
      </c>
      <c r="P24" s="116">
        <v>857.73144126283864</v>
      </c>
      <c r="Q24" s="116">
        <v>1108.4508532829375</v>
      </c>
      <c r="R24" s="116">
        <v>-653.8023562729386</v>
      </c>
      <c r="S24" s="116">
        <v>-421.3399842228398</v>
      </c>
      <c r="T24" s="116">
        <v>-466.72489725284458</v>
      </c>
      <c r="U24" s="116">
        <v>-349.32505364283389</v>
      </c>
      <c r="V24" s="116">
        <v>517.0335005848458</v>
      </c>
      <c r="W24" s="116">
        <v>513.88256807484743</v>
      </c>
      <c r="X24" s="116">
        <v>369.51354145484618</v>
      </c>
      <c r="Y24" s="116">
        <v>466.61508835484972</v>
      </c>
      <c r="Z24" s="116">
        <v>-940.08217473449758</v>
      </c>
      <c r="AA24" s="116">
        <v>386.27265259378407</v>
      </c>
      <c r="AB24" s="116">
        <v>-55.366179389690501</v>
      </c>
    </row>
    <row r="25" spans="1:28" x14ac:dyDescent="0.25">
      <c r="A25" s="93">
        <v>22</v>
      </c>
      <c r="D25" s="114" t="s">
        <v>30</v>
      </c>
      <c r="E25" s="114" t="s">
        <v>31</v>
      </c>
      <c r="F25" s="116">
        <v>0</v>
      </c>
      <c r="G25" s="116">
        <v>0</v>
      </c>
      <c r="H25" s="116">
        <v>0</v>
      </c>
      <c r="I25" s="116">
        <v>0</v>
      </c>
      <c r="J25" s="116">
        <v>0</v>
      </c>
      <c r="K25" s="116">
        <v>0</v>
      </c>
      <c r="L25" s="116">
        <v>0</v>
      </c>
      <c r="M25" s="116">
        <v>0</v>
      </c>
      <c r="N25" s="116">
        <v>0</v>
      </c>
      <c r="O25" s="116">
        <v>0</v>
      </c>
      <c r="P25" s="116">
        <v>0</v>
      </c>
      <c r="Q25" s="116">
        <v>0</v>
      </c>
      <c r="R25" s="116">
        <v>0</v>
      </c>
      <c r="S25" s="116">
        <v>0</v>
      </c>
      <c r="T25" s="116">
        <v>0</v>
      </c>
      <c r="U25" s="116">
        <v>0</v>
      </c>
      <c r="V25" s="116">
        <v>0</v>
      </c>
      <c r="W25" s="116">
        <v>0</v>
      </c>
      <c r="X25" s="116">
        <v>0</v>
      </c>
      <c r="Y25" s="116">
        <v>0</v>
      </c>
      <c r="Z25" s="116">
        <v>0</v>
      </c>
      <c r="AA25" s="116">
        <v>0</v>
      </c>
      <c r="AB25" s="116">
        <v>0</v>
      </c>
    </row>
    <row r="26" spans="1:28" ht="15.75" x14ac:dyDescent="0.25">
      <c r="A26" s="93">
        <v>23</v>
      </c>
      <c r="D26" s="112" t="s">
        <v>19</v>
      </c>
      <c r="E26" s="112" t="s">
        <v>22</v>
      </c>
      <c r="F26" s="113">
        <v>605.10015824175809</v>
      </c>
      <c r="G26" s="113">
        <v>1745.8479341318687</v>
      </c>
      <c r="H26" s="113">
        <v>-63.013267663043521</v>
      </c>
      <c r="I26" s="113">
        <v>-153.50400556521737</v>
      </c>
      <c r="J26" s="113">
        <v>384.83331333333336</v>
      </c>
      <c r="K26" s="113">
        <v>-38.506296263736154</v>
      </c>
      <c r="L26" s="113">
        <v>-390.62328947826103</v>
      </c>
      <c r="M26" s="113">
        <v>504.9540415000003</v>
      </c>
      <c r="N26" s="113">
        <v>-220.57079017777787</v>
      </c>
      <c r="O26" s="113">
        <v>17.320044351648434</v>
      </c>
      <c r="P26" s="113">
        <v>-111.28596730434786</v>
      </c>
      <c r="Q26" s="113">
        <v>-39.674184782608613</v>
      </c>
      <c r="R26" s="113">
        <v>234.37811110877948</v>
      </c>
      <c r="S26" s="113">
        <v>-87.207754045211459</v>
      </c>
      <c r="T26" s="113">
        <v>387.14027387497475</v>
      </c>
      <c r="U26" s="113">
        <v>58.089733580907904</v>
      </c>
      <c r="V26" s="113">
        <v>359.48271618340289</v>
      </c>
      <c r="W26" s="113">
        <v>-91.533561599283985</v>
      </c>
      <c r="X26" s="113">
        <v>-220.5765338053705</v>
      </c>
      <c r="Y26" s="113">
        <v>-41.331725432664783</v>
      </c>
      <c r="Z26" s="113">
        <v>151.6023030221867</v>
      </c>
      <c r="AA26" s="113">
        <v>-4.380398382372837</v>
      </c>
      <c r="AB26" s="113">
        <v>-141.86724791867118</v>
      </c>
    </row>
    <row r="27" spans="1:28" ht="9" customHeight="1" x14ac:dyDescent="0.25">
      <c r="A27" s="93">
        <v>24</v>
      </c>
      <c r="D27" s="119"/>
      <c r="E27" s="119"/>
      <c r="F27" s="120">
        <v>0</v>
      </c>
      <c r="G27" s="120">
        <v>0</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0">
        <v>0</v>
      </c>
      <c r="Y27" s="120">
        <v>0</v>
      </c>
      <c r="Z27" s="120">
        <v>0</v>
      </c>
      <c r="AA27" s="120">
        <v>0</v>
      </c>
      <c r="AB27" s="120">
        <v>0</v>
      </c>
    </row>
    <row r="28" spans="1:28" ht="26.1" customHeight="1" x14ac:dyDescent="0.3">
      <c r="A28" s="93">
        <v>25</v>
      </c>
      <c r="B28" s="108"/>
      <c r="C28" s="110" t="s">
        <v>24</v>
      </c>
      <c r="D28" s="110"/>
      <c r="F28" s="111"/>
      <c r="G28" s="111"/>
      <c r="H28" s="111"/>
      <c r="I28" s="111"/>
      <c r="J28" s="111"/>
      <c r="K28" s="111"/>
      <c r="L28" s="111"/>
      <c r="M28" s="111"/>
      <c r="N28" s="111"/>
      <c r="O28" s="111"/>
      <c r="P28" s="111"/>
      <c r="Q28" s="111"/>
      <c r="R28" s="111"/>
      <c r="S28" s="111"/>
      <c r="T28" s="111"/>
      <c r="U28" s="111"/>
      <c r="V28" s="111"/>
      <c r="W28" s="111"/>
      <c r="X28" s="111"/>
      <c r="Y28" s="111"/>
      <c r="Z28" s="111"/>
      <c r="AA28" s="111"/>
      <c r="AB28" s="111"/>
    </row>
    <row r="29" spans="1:28" ht="18" customHeight="1" x14ac:dyDescent="0.25">
      <c r="A29" s="93">
        <v>26</v>
      </c>
      <c r="D29" s="112" t="s">
        <v>13</v>
      </c>
      <c r="E29" s="112" t="s">
        <v>35</v>
      </c>
      <c r="F29" s="113">
        <f>F30+F31+F35+F36</f>
        <v>170.55912414772104</v>
      </c>
      <c r="G29" s="113">
        <f t="shared" ref="G29:W29" si="16">G30+G31+G35+G36</f>
        <v>-34.448082725173151</v>
      </c>
      <c r="H29" s="113">
        <f t="shared" si="16"/>
        <v>-45.980832181505093</v>
      </c>
      <c r="I29" s="113">
        <f t="shared" si="16"/>
        <v>260.3659045644456</v>
      </c>
      <c r="J29" s="113">
        <f t="shared" si="16"/>
        <v>608.83812115139415</v>
      </c>
      <c r="K29" s="113">
        <f t="shared" si="16"/>
        <v>462.87234951425972</v>
      </c>
      <c r="L29" s="113">
        <f t="shared" si="16"/>
        <v>466.07918881026484</v>
      </c>
      <c r="M29" s="113">
        <f t="shared" si="16"/>
        <v>658.60080519679991</v>
      </c>
      <c r="N29" s="113">
        <f t="shared" si="16"/>
        <v>1328.4363736414889</v>
      </c>
      <c r="O29" s="113">
        <f t="shared" si="16"/>
        <v>1776.44938666392</v>
      </c>
      <c r="P29" s="113">
        <f t="shared" si="16"/>
        <v>1256.5858161650099</v>
      </c>
      <c r="Q29" s="113">
        <f t="shared" si="16"/>
        <v>1306.1706627509986</v>
      </c>
      <c r="R29" s="113">
        <f t="shared" si="16"/>
        <v>-407.68280965872759</v>
      </c>
      <c r="S29" s="113">
        <f t="shared" si="16"/>
        <v>257.38918622237543</v>
      </c>
      <c r="T29" s="113">
        <f t="shared" si="16"/>
        <v>-185.77066237659051</v>
      </c>
      <c r="U29" s="113">
        <f t="shared" si="16"/>
        <v>691.19792578571901</v>
      </c>
      <c r="V29" s="113">
        <f t="shared" si="16"/>
        <v>306.51372714408075</v>
      </c>
      <c r="W29" s="113">
        <f t="shared" si="16"/>
        <v>502.49774350378902</v>
      </c>
      <c r="X29" s="113">
        <f t="shared" ref="X29:Y29" si="17">X30+X31+X35+X36</f>
        <v>-171.70520242579113</v>
      </c>
      <c r="Y29" s="113">
        <f t="shared" si="17"/>
        <v>1135.7107033597149</v>
      </c>
      <c r="Z29" s="113">
        <f t="shared" ref="Z29:AA29" si="18">Z30+Z31+Z35+Z36</f>
        <v>-161.64626102684838</v>
      </c>
      <c r="AA29" s="113">
        <f t="shared" si="18"/>
        <v>2597.4625787323016</v>
      </c>
      <c r="AB29" s="113">
        <f t="shared" ref="AB29" si="19">AB30+AB31+AB35+AB36</f>
        <v>-308.34838713182762</v>
      </c>
    </row>
    <row r="30" spans="1:28" x14ac:dyDescent="0.25">
      <c r="A30" s="93">
        <v>27</v>
      </c>
      <c r="D30" s="114" t="s">
        <v>14</v>
      </c>
      <c r="E30" s="114" t="s">
        <v>23</v>
      </c>
      <c r="F30" s="115"/>
      <c r="G30" s="115"/>
      <c r="H30" s="115"/>
      <c r="I30" s="115"/>
      <c r="J30" s="115"/>
      <c r="K30" s="115"/>
      <c r="L30" s="115"/>
      <c r="M30" s="115"/>
      <c r="N30" s="115"/>
      <c r="O30" s="115"/>
      <c r="P30" s="115"/>
      <c r="Q30" s="115"/>
      <c r="R30" s="115"/>
      <c r="S30" s="115"/>
      <c r="T30" s="115"/>
      <c r="U30" s="115"/>
      <c r="V30" s="115"/>
      <c r="W30" s="115"/>
      <c r="X30" s="115"/>
      <c r="Y30" s="115"/>
      <c r="Z30" s="115"/>
      <c r="AA30" s="115"/>
      <c r="AB30" s="115"/>
    </row>
    <row r="31" spans="1:28" x14ac:dyDescent="0.25">
      <c r="A31" s="93">
        <v>28</v>
      </c>
      <c r="D31" s="114" t="s">
        <v>15</v>
      </c>
      <c r="E31" s="114" t="s">
        <v>0</v>
      </c>
      <c r="F31" s="116">
        <f>SUM(F32:F34)</f>
        <v>2.7301549794460875</v>
      </c>
      <c r="G31" s="116">
        <f t="shared" ref="G31:W31" si="20">SUM(G32:G34)</f>
        <v>-1.076147178674919</v>
      </c>
      <c r="H31" s="116">
        <f t="shared" si="20"/>
        <v>-1.0252237829630317</v>
      </c>
      <c r="I31" s="116">
        <f t="shared" si="20"/>
        <v>-36.219050751677258</v>
      </c>
      <c r="J31" s="116">
        <f t="shared" si="20"/>
        <v>1.5566268804334307</v>
      </c>
      <c r="K31" s="116">
        <f t="shared" si="20"/>
        <v>3.49777435337454</v>
      </c>
      <c r="L31" s="116">
        <f t="shared" si="20"/>
        <v>15.323106906899501</v>
      </c>
      <c r="M31" s="116">
        <f t="shared" si="20"/>
        <v>3.1295610105780414</v>
      </c>
      <c r="N31" s="116">
        <f t="shared" si="20"/>
        <v>9.1908166760023224</v>
      </c>
      <c r="O31" s="116">
        <f t="shared" si="20"/>
        <v>5.4869331680866873</v>
      </c>
      <c r="P31" s="116">
        <f t="shared" si="20"/>
        <v>-5.6392708452035221</v>
      </c>
      <c r="Q31" s="116">
        <f t="shared" si="20"/>
        <v>-13.979789389292767</v>
      </c>
      <c r="R31" s="116">
        <f t="shared" si="20"/>
        <v>14.935376798407834</v>
      </c>
      <c r="S31" s="116">
        <f t="shared" si="20"/>
        <v>-2.0403856696861693</v>
      </c>
      <c r="T31" s="116">
        <f t="shared" si="20"/>
        <v>-7.3406383623675353E-3</v>
      </c>
      <c r="U31" s="116">
        <f t="shared" si="20"/>
        <v>-6.6514130491006318</v>
      </c>
      <c r="V31" s="116">
        <f t="shared" si="20"/>
        <v>0.7947247884775992</v>
      </c>
      <c r="W31" s="116">
        <f t="shared" si="20"/>
        <v>-2.5687867522047023</v>
      </c>
      <c r="X31" s="116">
        <f t="shared" ref="X31:Y31" si="21">SUM(X32:X34)</f>
        <v>-2.991805189999643</v>
      </c>
      <c r="Y31" s="116">
        <f t="shared" si="21"/>
        <v>-10.043771071061174</v>
      </c>
      <c r="Z31" s="116">
        <f t="shared" ref="Z31:AA31" si="22">SUM(Z32:Z34)</f>
        <v>-2.1219524775153964</v>
      </c>
      <c r="AA31" s="116">
        <f t="shared" si="22"/>
        <v>-7.5461626497367247</v>
      </c>
      <c r="AB31" s="116">
        <f t="shared" ref="AB31" si="23">SUM(AB32:AB34)</f>
        <v>-4.7663958243520312</v>
      </c>
    </row>
    <row r="32" spans="1:28" x14ac:dyDescent="0.25">
      <c r="A32" s="93">
        <v>29</v>
      </c>
      <c r="D32" s="117" t="s">
        <v>26</v>
      </c>
      <c r="E32" s="117" t="s">
        <v>25</v>
      </c>
      <c r="F32" s="118">
        <v>-0.45179354728399801</v>
      </c>
      <c r="G32" s="118">
        <v>4.497986352730976E-2</v>
      </c>
      <c r="H32" s="118">
        <v>0.17951684123827505</v>
      </c>
      <c r="I32" s="118">
        <v>-28.692292830696065</v>
      </c>
      <c r="J32" s="118">
        <v>-8.7335443225196485E-2</v>
      </c>
      <c r="K32" s="118">
        <v>-7.5031354490221247E-2</v>
      </c>
      <c r="L32" s="118">
        <v>-7.277073051244809E-2</v>
      </c>
      <c r="M32" s="118">
        <v>-8.4216969865379632E-2</v>
      </c>
      <c r="N32" s="118">
        <v>9.2368890888376853E-3</v>
      </c>
      <c r="O32" s="118">
        <v>-0.89653198569610293</v>
      </c>
      <c r="P32" s="118">
        <v>6.8759243297593642E-3</v>
      </c>
      <c r="Q32" s="118">
        <v>6.3799220282820812E-3</v>
      </c>
      <c r="R32" s="118">
        <v>-0.15946071381179383</v>
      </c>
      <c r="S32" s="118">
        <v>-0.15267939336965508</v>
      </c>
      <c r="T32" s="118">
        <v>-0.13941083688391753</v>
      </c>
      <c r="U32" s="118">
        <v>0.63504858013855259</v>
      </c>
      <c r="V32" s="118">
        <v>-0.89750827136267031</v>
      </c>
      <c r="W32" s="118">
        <v>-0.11023274307083231</v>
      </c>
      <c r="X32" s="118">
        <v>-0.10558351599698756</v>
      </c>
      <c r="Y32" s="118">
        <v>-0.1012223462261348</v>
      </c>
      <c r="Z32" s="118">
        <v>0.41999944768123143</v>
      </c>
      <c r="AA32" s="118">
        <v>-1.6439076457184525</v>
      </c>
      <c r="AB32" s="118">
        <v>-0.19106453776540144</v>
      </c>
    </row>
    <row r="33" spans="1:28" x14ac:dyDescent="0.25">
      <c r="A33" s="93">
        <v>30</v>
      </c>
      <c r="D33" s="117" t="s">
        <v>16</v>
      </c>
      <c r="E33" s="117" t="s">
        <v>27</v>
      </c>
      <c r="F33" s="118">
        <v>-7.6404629436691351E-2</v>
      </c>
      <c r="G33" s="118">
        <v>-2.4831843372046869</v>
      </c>
      <c r="H33" s="118">
        <v>-1.5051521891224695</v>
      </c>
      <c r="I33" s="118">
        <v>-7.0747373804780747</v>
      </c>
      <c r="J33" s="118">
        <v>-0.18811225021181599</v>
      </c>
      <c r="K33" s="118">
        <v>1.80128731511377</v>
      </c>
      <c r="L33" s="118">
        <v>4.5759174051297578</v>
      </c>
      <c r="M33" s="118">
        <v>2.814473109149862</v>
      </c>
      <c r="N33" s="118">
        <v>9.1639617860698017</v>
      </c>
      <c r="O33" s="118">
        <v>6.2507260850463133</v>
      </c>
      <c r="P33" s="118">
        <v>1.4354200308901923</v>
      </c>
      <c r="Q33" s="118">
        <v>-3.0847069319411844</v>
      </c>
      <c r="R33" s="118">
        <v>7.2379718676900637</v>
      </c>
      <c r="S33" s="118">
        <v>-4.8703495573773523</v>
      </c>
      <c r="T33" s="118">
        <v>-2.654300383139617</v>
      </c>
      <c r="U33" s="118">
        <v>-7.3710912730655451</v>
      </c>
      <c r="V33" s="118">
        <v>2.5063679840497315</v>
      </c>
      <c r="W33" s="118">
        <v>-1.9596953370602463</v>
      </c>
      <c r="X33" s="118">
        <v>-2.6963663507845936</v>
      </c>
      <c r="Y33" s="118">
        <v>-2.4652737916970082</v>
      </c>
      <c r="Z33" s="118">
        <v>-0.42876770630587657</v>
      </c>
      <c r="AA33" s="118">
        <v>-3.1009290276164663</v>
      </c>
      <c r="AB33" s="118">
        <v>-1.0948943500999686</v>
      </c>
    </row>
    <row r="34" spans="1:28" x14ac:dyDescent="0.25">
      <c r="A34" s="93">
        <v>31</v>
      </c>
      <c r="D34" s="117" t="s">
        <v>17</v>
      </c>
      <c r="E34" s="117" t="s">
        <v>28</v>
      </c>
      <c r="F34" s="118">
        <v>3.2583531561667769</v>
      </c>
      <c r="G34" s="118">
        <v>1.3620572950024581</v>
      </c>
      <c r="H34" s="118">
        <v>0.30041156492116272</v>
      </c>
      <c r="I34" s="118">
        <v>-0.45202054050312057</v>
      </c>
      <c r="J34" s="118">
        <v>1.8320745738704431</v>
      </c>
      <c r="K34" s="118">
        <v>1.7715183927509912</v>
      </c>
      <c r="L34" s="118">
        <v>10.819960232282192</v>
      </c>
      <c r="M34" s="118">
        <v>0.39930487129355896</v>
      </c>
      <c r="N34" s="118">
        <v>1.7618000843683035E-2</v>
      </c>
      <c r="O34" s="118">
        <v>0.1327390687364769</v>
      </c>
      <c r="P34" s="118">
        <v>-7.0815668004234738</v>
      </c>
      <c r="Q34" s="118">
        <v>-10.901462379379865</v>
      </c>
      <c r="R34" s="118">
        <v>7.856865644529563</v>
      </c>
      <c r="S34" s="118">
        <v>2.9826432810608381</v>
      </c>
      <c r="T34" s="118">
        <v>2.786370581661167</v>
      </c>
      <c r="U34" s="118">
        <v>8.4629643826360734E-2</v>
      </c>
      <c r="V34" s="118">
        <v>-0.81413492420946199</v>
      </c>
      <c r="W34" s="118">
        <v>-0.49885867207362367</v>
      </c>
      <c r="X34" s="118">
        <v>-0.18985532321806176</v>
      </c>
      <c r="Y34" s="118">
        <v>-7.4772749331380313</v>
      </c>
      <c r="Z34" s="118">
        <v>-2.1131842188907513</v>
      </c>
      <c r="AA34" s="118">
        <v>-2.8013259764018059</v>
      </c>
      <c r="AB34" s="118">
        <v>-3.4804369364866616</v>
      </c>
    </row>
    <row r="35" spans="1:28" x14ac:dyDescent="0.25">
      <c r="A35" s="93">
        <v>32</v>
      </c>
      <c r="D35" s="114" t="s">
        <v>1</v>
      </c>
      <c r="E35" s="114" t="s">
        <v>29</v>
      </c>
      <c r="F35" s="116">
        <v>-676.91502230664992</v>
      </c>
      <c r="G35" s="116">
        <v>-535.78750385161766</v>
      </c>
      <c r="H35" s="116">
        <v>-537.40662340140625</v>
      </c>
      <c r="I35" s="116">
        <v>-538.97120304324108</v>
      </c>
      <c r="J35" s="116">
        <v>-11.292417881384608</v>
      </c>
      <c r="K35" s="116">
        <v>-7.8308189266108457</v>
      </c>
      <c r="L35" s="116">
        <v>-4.659015247071693</v>
      </c>
      <c r="M35" s="116">
        <v>-1.7455372370231999</v>
      </c>
      <c r="N35" s="116">
        <v>492.45340322480297</v>
      </c>
      <c r="O35" s="116">
        <v>492.78977617695637</v>
      </c>
      <c r="P35" s="116">
        <v>493.08839029713454</v>
      </c>
      <c r="Q35" s="116">
        <v>493.3546931344008</v>
      </c>
      <c r="R35" s="116">
        <v>544.05668022717691</v>
      </c>
      <c r="S35" s="116">
        <v>514.49718782451237</v>
      </c>
      <c r="T35" s="116">
        <v>486.78403283790612</v>
      </c>
      <c r="U35" s="116">
        <v>460.76658422247237</v>
      </c>
      <c r="V35" s="116">
        <v>-248.30978320167924</v>
      </c>
      <c r="W35" s="116">
        <v>-237.61134396686975</v>
      </c>
      <c r="X35" s="116">
        <v>-227.58973820211395</v>
      </c>
      <c r="Y35" s="116">
        <v>-218.18905214775259</v>
      </c>
      <c r="Z35" s="116">
        <v>661.67962818256092</v>
      </c>
      <c r="AA35" s="116">
        <v>90.375108951609946</v>
      </c>
      <c r="AB35" s="116">
        <v>85.167258619670974</v>
      </c>
    </row>
    <row r="36" spans="1:28" x14ac:dyDescent="0.25">
      <c r="A36" s="93">
        <v>33</v>
      </c>
      <c r="D36" s="114" t="s">
        <v>30</v>
      </c>
      <c r="E36" s="114" t="s">
        <v>31</v>
      </c>
      <c r="F36" s="116">
        <v>844.74399147492488</v>
      </c>
      <c r="G36" s="116">
        <v>502.41556830511939</v>
      </c>
      <c r="H36" s="116">
        <v>492.45101500286421</v>
      </c>
      <c r="I36" s="116">
        <v>835.55615835936396</v>
      </c>
      <c r="J36" s="116">
        <v>618.57391215234532</v>
      </c>
      <c r="K36" s="116">
        <v>467.20539408749602</v>
      </c>
      <c r="L36" s="116">
        <v>455.41509715043702</v>
      </c>
      <c r="M36" s="116">
        <v>657.21678142324504</v>
      </c>
      <c r="N36" s="116">
        <v>826.7921537406836</v>
      </c>
      <c r="O36" s="116">
        <v>1278.1726773188768</v>
      </c>
      <c r="P36" s="116">
        <v>769.13669671307889</v>
      </c>
      <c r="Q36" s="116">
        <v>826.79575900589055</v>
      </c>
      <c r="R36" s="116">
        <v>-966.67486668431229</v>
      </c>
      <c r="S36" s="116">
        <v>-255.06761593245074</v>
      </c>
      <c r="T36" s="116">
        <v>-672.54735457613424</v>
      </c>
      <c r="U36" s="116">
        <v>237.08275461234734</v>
      </c>
      <c r="V36" s="116">
        <v>554.02878555728239</v>
      </c>
      <c r="W36" s="116">
        <v>742.67787422286347</v>
      </c>
      <c r="X36" s="116">
        <v>58.876340966322459</v>
      </c>
      <c r="Y36" s="116">
        <v>1363.9435265785287</v>
      </c>
      <c r="Z36" s="116">
        <v>-821.20393673189392</v>
      </c>
      <c r="AA36" s="116">
        <v>2514.6336324304284</v>
      </c>
      <c r="AB36" s="116">
        <v>-388.74924992714659</v>
      </c>
    </row>
    <row r="37" spans="1:28" ht="15.75" x14ac:dyDescent="0.25">
      <c r="A37" s="93">
        <v>34</v>
      </c>
      <c r="D37" s="112" t="s">
        <v>19</v>
      </c>
      <c r="E37" s="112" t="s">
        <v>22</v>
      </c>
      <c r="F37" s="113">
        <v>714.09476167009143</v>
      </c>
      <c r="G37" s="113">
        <v>26.706706733041663</v>
      </c>
      <c r="H37" s="113">
        <v>106.91523999195502</v>
      </c>
      <c r="I37" s="113">
        <v>1207.8623767283627</v>
      </c>
      <c r="J37" s="113">
        <v>587.76452352094611</v>
      </c>
      <c r="K37" s="113">
        <v>1185.10085930424</v>
      </c>
      <c r="L37" s="113">
        <v>1483.6006818180604</v>
      </c>
      <c r="M37" s="113">
        <v>1349.2531207487557</v>
      </c>
      <c r="N37" s="113">
        <v>1991.1167729294887</v>
      </c>
      <c r="O37" s="113">
        <v>2261.6384457440759</v>
      </c>
      <c r="P37" s="113">
        <v>1254.5703035867834</v>
      </c>
      <c r="Q37" s="113">
        <v>1657.1000988203259</v>
      </c>
      <c r="R37" s="113">
        <v>1199.3569627192339</v>
      </c>
      <c r="S37" s="113">
        <v>443.842275286534</v>
      </c>
      <c r="T37" s="113">
        <v>1732.4389918177997</v>
      </c>
      <c r="U37" s="113">
        <v>285.29076418265413</v>
      </c>
      <c r="V37" s="113">
        <v>488.68284185061543</v>
      </c>
      <c r="W37" s="113">
        <v>911.15500311205756</v>
      </c>
      <c r="X37" s="113">
        <v>2014.6511195030912</v>
      </c>
      <c r="Y37" s="113">
        <v>2195.105262157711</v>
      </c>
      <c r="Z37" s="113">
        <v>1282.486947539677</v>
      </c>
      <c r="AA37" s="113">
        <v>1388.8196589459753</v>
      </c>
      <c r="AB37" s="113">
        <v>1526.2985609120688</v>
      </c>
    </row>
    <row r="38" spans="1:28" ht="9" customHeight="1" x14ac:dyDescent="0.25">
      <c r="A38" s="93">
        <v>35</v>
      </c>
      <c r="D38" s="119"/>
      <c r="E38" s="119"/>
      <c r="F38" s="120">
        <v>0</v>
      </c>
      <c r="G38" s="120">
        <v>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0">
        <v>0</v>
      </c>
      <c r="Y38" s="120">
        <v>0</v>
      </c>
      <c r="Z38" s="120">
        <v>0</v>
      </c>
      <c r="AA38" s="120">
        <v>0</v>
      </c>
      <c r="AB38" s="120">
        <v>0</v>
      </c>
    </row>
    <row r="39" spans="1:28" ht="35.1" customHeight="1" x14ac:dyDescent="0.3">
      <c r="A39" s="93">
        <v>36</v>
      </c>
      <c r="B39" s="107" t="s">
        <v>33</v>
      </c>
      <c r="C39" s="108"/>
      <c r="D39" s="108"/>
      <c r="F39" s="111"/>
      <c r="G39" s="111"/>
      <c r="H39" s="111"/>
      <c r="I39" s="111"/>
      <c r="J39" s="111"/>
      <c r="K39" s="111"/>
      <c r="L39" s="111"/>
      <c r="M39" s="111"/>
      <c r="N39" s="111"/>
      <c r="O39" s="111"/>
      <c r="P39" s="111"/>
      <c r="Q39" s="111"/>
      <c r="R39" s="111"/>
      <c r="S39" s="111"/>
      <c r="T39" s="111"/>
      <c r="U39" s="111"/>
      <c r="V39" s="111"/>
      <c r="W39" s="111"/>
      <c r="X39" s="111"/>
      <c r="Y39" s="111"/>
      <c r="Z39" s="111"/>
      <c r="AA39" s="111"/>
      <c r="AB39" s="111"/>
    </row>
    <row r="40" spans="1:28" ht="26.1" customHeight="1" x14ac:dyDescent="0.3">
      <c r="A40" s="93">
        <v>37</v>
      </c>
      <c r="B40" s="108"/>
      <c r="C40" s="110" t="s">
        <v>10</v>
      </c>
      <c r="D40" s="110"/>
      <c r="F40" s="111"/>
      <c r="G40" s="111"/>
      <c r="H40" s="111"/>
      <c r="I40" s="111"/>
      <c r="J40" s="111"/>
      <c r="K40" s="111"/>
      <c r="L40" s="111"/>
      <c r="M40" s="111"/>
      <c r="N40" s="111"/>
      <c r="O40" s="111"/>
      <c r="P40" s="111"/>
      <c r="Q40" s="111"/>
      <c r="R40" s="111"/>
      <c r="S40" s="111"/>
      <c r="T40" s="111"/>
      <c r="U40" s="111"/>
      <c r="V40" s="111"/>
      <c r="W40" s="111"/>
      <c r="X40" s="111"/>
      <c r="Y40" s="111"/>
      <c r="Z40" s="111"/>
      <c r="AA40" s="111"/>
      <c r="AB40" s="111"/>
    </row>
    <row r="41" spans="1:28" ht="18" customHeight="1" x14ac:dyDescent="0.25">
      <c r="A41" s="93">
        <v>38</v>
      </c>
      <c r="D41" s="112" t="s">
        <v>13</v>
      </c>
      <c r="E41" s="112" t="s">
        <v>35</v>
      </c>
      <c r="F41" s="113">
        <f>F42+F43+F47+F48</f>
        <v>988.28682000568892</v>
      </c>
      <c r="G41" s="113">
        <f t="shared" ref="G41:W41" si="24">G42+G43+G47+G48</f>
        <v>5092.7187338567237</v>
      </c>
      <c r="H41" s="113">
        <f t="shared" si="24"/>
        <v>7999.5870953397516</v>
      </c>
      <c r="I41" s="113">
        <f t="shared" si="24"/>
        <v>7242.8035559422733</v>
      </c>
      <c r="J41" s="113">
        <f t="shared" si="24"/>
        <v>-255.99952674219935</v>
      </c>
      <c r="K41" s="113">
        <f t="shared" si="24"/>
        <v>5354.7025338497015</v>
      </c>
      <c r="L41" s="113">
        <f t="shared" si="24"/>
        <v>5591.5806372760326</v>
      </c>
      <c r="M41" s="113">
        <f t="shared" si="24"/>
        <v>7811.1884550288651</v>
      </c>
      <c r="N41" s="113">
        <f t="shared" si="24"/>
        <v>-8519.4571600664913</v>
      </c>
      <c r="O41" s="113">
        <f t="shared" si="24"/>
        <v>4912.4390286726502</v>
      </c>
      <c r="P41" s="113">
        <f t="shared" si="24"/>
        <v>17786.521888693103</v>
      </c>
      <c r="Q41" s="113">
        <f t="shared" si="24"/>
        <v>-201.68531716942925</v>
      </c>
      <c r="R41" s="113">
        <f t="shared" si="24"/>
        <v>4528.4623228038854</v>
      </c>
      <c r="S41" s="113">
        <f t="shared" si="24"/>
        <v>11172.522359254635</v>
      </c>
      <c r="T41" s="113">
        <f t="shared" si="24"/>
        <v>5428.0959959014326</v>
      </c>
      <c r="U41" s="113">
        <f t="shared" si="24"/>
        <v>10439.838992675963</v>
      </c>
      <c r="V41" s="113">
        <f t="shared" si="24"/>
        <v>4480.0045764455635</v>
      </c>
      <c r="W41" s="113">
        <f t="shared" si="24"/>
        <v>4441.49183079049</v>
      </c>
      <c r="X41" s="113">
        <f t="shared" ref="X41:Y41" si="25">X42+X43+X47+X48</f>
        <v>5293.4754011893729</v>
      </c>
      <c r="Y41" s="113">
        <f t="shared" si="25"/>
        <v>4147.0242490410828</v>
      </c>
      <c r="Z41" s="113">
        <f t="shared" ref="Z41:AA41" si="26">Z42+Z43+Z47+Z48</f>
        <v>-1093.9737915582361</v>
      </c>
      <c r="AA41" s="113">
        <f t="shared" si="26"/>
        <v>8508.321697076748</v>
      </c>
      <c r="AB41" s="113">
        <f t="shared" ref="AB41" si="27">AB42+AB43+AB47+AB48</f>
        <v>7122.7617344714636</v>
      </c>
    </row>
    <row r="42" spans="1:28" x14ac:dyDescent="0.25">
      <c r="A42" s="93">
        <v>39</v>
      </c>
      <c r="D42" s="114" t="s">
        <v>14</v>
      </c>
      <c r="E42" s="114" t="s">
        <v>23</v>
      </c>
      <c r="F42" s="116">
        <v>964.76267466504055</v>
      </c>
      <c r="G42" s="116">
        <v>2174.0631628763108</v>
      </c>
      <c r="H42" s="116">
        <v>2088.0318929639889</v>
      </c>
      <c r="I42" s="116">
        <v>1353.4020798169033</v>
      </c>
      <c r="J42" s="116">
        <v>764.37888859159966</v>
      </c>
      <c r="K42" s="116">
        <v>1415.4342688880149</v>
      </c>
      <c r="L42" s="116">
        <v>1962.3777561017341</v>
      </c>
      <c r="M42" s="116">
        <v>1531.5142496106291</v>
      </c>
      <c r="N42" s="116">
        <v>-286.02169101710956</v>
      </c>
      <c r="O42" s="116">
        <v>731.51444023052704</v>
      </c>
      <c r="P42" s="116">
        <v>937.18616021010541</v>
      </c>
      <c r="Q42" s="116">
        <v>2380.4398485898241</v>
      </c>
      <c r="R42" s="116">
        <v>3220.2370162413126</v>
      </c>
      <c r="S42" s="116">
        <v>2937.8150202534357</v>
      </c>
      <c r="T42" s="116">
        <v>3629.0968730471695</v>
      </c>
      <c r="U42" s="116">
        <v>3978.777906115949</v>
      </c>
      <c r="V42" s="116">
        <v>1124.9071463821379</v>
      </c>
      <c r="W42" s="116">
        <v>1301.6557880356306</v>
      </c>
      <c r="X42" s="116">
        <v>2439.0053945275622</v>
      </c>
      <c r="Y42" s="116">
        <v>2156.4659508955187</v>
      </c>
      <c r="Z42" s="116">
        <v>3002.4189337249923</v>
      </c>
      <c r="AA42" s="116">
        <v>3404.3050742919463</v>
      </c>
      <c r="AB42" s="116">
        <v>2584.9547354451861</v>
      </c>
    </row>
    <row r="43" spans="1:28" x14ac:dyDescent="0.25">
      <c r="A43" s="93">
        <v>40</v>
      </c>
      <c r="D43" s="114" t="s">
        <v>15</v>
      </c>
      <c r="E43" s="114" t="s">
        <v>0</v>
      </c>
      <c r="F43" s="116">
        <f>SUM(F44:F46)</f>
        <v>360.90654418768236</v>
      </c>
      <c r="G43" s="116">
        <f t="shared" ref="G43:W43" si="28">SUM(G44:G46)</f>
        <v>-2868.4321364557177</v>
      </c>
      <c r="H43" s="116">
        <f t="shared" si="28"/>
        <v>1956.5356860794739</v>
      </c>
      <c r="I43" s="116">
        <f t="shared" si="28"/>
        <v>2071.10509008177</v>
      </c>
      <c r="J43" s="116">
        <f t="shared" si="28"/>
        <v>-1438.8323987084609</v>
      </c>
      <c r="K43" s="116">
        <f t="shared" si="28"/>
        <v>-886.50721834792603</v>
      </c>
      <c r="L43" s="116">
        <f t="shared" si="28"/>
        <v>2361.8901670316927</v>
      </c>
      <c r="M43" s="116">
        <f t="shared" si="28"/>
        <v>711.19252779001738</v>
      </c>
      <c r="N43" s="116">
        <f t="shared" si="28"/>
        <v>2741.5709182758237</v>
      </c>
      <c r="O43" s="116">
        <f t="shared" si="28"/>
        <v>2754.5562869903374</v>
      </c>
      <c r="P43" s="116">
        <f t="shared" si="28"/>
        <v>9656.4552330370898</v>
      </c>
      <c r="Q43" s="116">
        <f t="shared" si="28"/>
        <v>-998.80888865090958</v>
      </c>
      <c r="R43" s="116">
        <f t="shared" si="28"/>
        <v>1237.1570712652372</v>
      </c>
      <c r="S43" s="116">
        <f t="shared" si="28"/>
        <v>2009.8775512291375</v>
      </c>
      <c r="T43" s="116">
        <f t="shared" si="28"/>
        <v>-255.05207906035369</v>
      </c>
      <c r="U43" s="116">
        <f t="shared" si="28"/>
        <v>1776.968364733516</v>
      </c>
      <c r="V43" s="116">
        <f t="shared" si="28"/>
        <v>-433.64004156042466</v>
      </c>
      <c r="W43" s="116">
        <f t="shared" si="28"/>
        <v>186.82420461648209</v>
      </c>
      <c r="X43" s="116">
        <f t="shared" ref="X43:Y43" si="29">SUM(X44:X46)</f>
        <v>-2143.2740370178531</v>
      </c>
      <c r="Y43" s="116">
        <f t="shared" si="29"/>
        <v>-3456.7414069672814</v>
      </c>
      <c r="Z43" s="116">
        <f t="shared" ref="Z43:AA43" si="30">SUM(Z44:Z46)</f>
        <v>-3110.3900392310543</v>
      </c>
      <c r="AA43" s="116">
        <f t="shared" si="30"/>
        <v>-297.20297740176704</v>
      </c>
      <c r="AB43" s="116">
        <f t="shared" ref="AB43" si="31">SUM(AB44:AB46)</f>
        <v>1635.53480510245</v>
      </c>
    </row>
    <row r="44" spans="1:28" x14ac:dyDescent="0.25">
      <c r="A44" s="93">
        <v>41</v>
      </c>
      <c r="D44" s="117" t="s">
        <v>26</v>
      </c>
      <c r="E44" s="117" t="s">
        <v>25</v>
      </c>
      <c r="F44" s="118">
        <v>341.43355802958706</v>
      </c>
      <c r="G44" s="118">
        <v>-3071.9628268996103</v>
      </c>
      <c r="H44" s="118">
        <v>2009.0056605197387</v>
      </c>
      <c r="I44" s="118">
        <v>2118.1202473588851</v>
      </c>
      <c r="J44" s="118">
        <v>-1382.5653683191001</v>
      </c>
      <c r="K44" s="118">
        <v>-923.2378962797203</v>
      </c>
      <c r="L44" s="118">
        <v>1840.507447299417</v>
      </c>
      <c r="M44" s="118">
        <v>784.49111952081898</v>
      </c>
      <c r="N44" s="118">
        <v>2249.5656984400102</v>
      </c>
      <c r="O44" s="118">
        <v>3012.9273919716597</v>
      </c>
      <c r="P44" s="118">
        <v>9783.7205937803392</v>
      </c>
      <c r="Q44" s="118">
        <v>-763.09733414512016</v>
      </c>
      <c r="R44" s="118">
        <v>1176.9252967614198</v>
      </c>
      <c r="S44" s="118">
        <v>1753.8829046986505</v>
      </c>
      <c r="T44" s="118">
        <v>-127.69880413747001</v>
      </c>
      <c r="U44" s="118">
        <v>1334.2222747980418</v>
      </c>
      <c r="V44" s="118">
        <v>-404.28008309869307</v>
      </c>
      <c r="W44" s="118">
        <v>289.66525377028012</v>
      </c>
      <c r="X44" s="118">
        <v>-2338.1112586373092</v>
      </c>
      <c r="Y44" s="118">
        <v>-3126.380146140541</v>
      </c>
      <c r="Z44" s="118">
        <v>-3543.3764072993881</v>
      </c>
      <c r="AA44" s="118">
        <v>-443.29844994046033</v>
      </c>
      <c r="AB44" s="118">
        <v>1320.8849809994704</v>
      </c>
    </row>
    <row r="45" spans="1:28" x14ac:dyDescent="0.25">
      <c r="A45" s="93">
        <v>42</v>
      </c>
      <c r="D45" s="117" t="s">
        <v>16</v>
      </c>
      <c r="E45" s="117" t="s">
        <v>27</v>
      </c>
      <c r="F45" s="118">
        <v>47.937649162735383</v>
      </c>
      <c r="G45" s="118">
        <v>173.81464584180537</v>
      </c>
      <c r="H45" s="118">
        <v>-61.107031111887032</v>
      </c>
      <c r="I45" s="118">
        <v>-8.7896736422408015</v>
      </c>
      <c r="J45" s="118">
        <v>-32.365546924796618</v>
      </c>
      <c r="K45" s="118">
        <v>30.803613362526846</v>
      </c>
      <c r="L45" s="118">
        <v>480.26369024094436</v>
      </c>
      <c r="M45" s="118">
        <v>-73.994490534631126</v>
      </c>
      <c r="N45" s="118">
        <v>509.32838018739255</v>
      </c>
      <c r="O45" s="118">
        <v>-204.77580873520134</v>
      </c>
      <c r="P45" s="118">
        <v>-159.05580250963206</v>
      </c>
      <c r="Q45" s="118">
        <v>-160.59834966775992</v>
      </c>
      <c r="R45" s="118">
        <v>64.037491473798951</v>
      </c>
      <c r="S45" s="118">
        <v>202.29236936851649</v>
      </c>
      <c r="T45" s="118">
        <v>-173.1309908801075</v>
      </c>
      <c r="U45" s="118">
        <v>418.29177734979419</v>
      </c>
      <c r="V45" s="118">
        <v>-6.3699353499058162</v>
      </c>
      <c r="W45" s="118">
        <v>-43.928783923807075</v>
      </c>
      <c r="X45" s="118">
        <v>130.50617946953739</v>
      </c>
      <c r="Y45" s="118">
        <v>-304.94645091334974</v>
      </c>
      <c r="Z45" s="118">
        <v>428.10876483303764</v>
      </c>
      <c r="AA45" s="118">
        <v>117.07221760246273</v>
      </c>
      <c r="AB45" s="118">
        <v>321.9601970905689</v>
      </c>
    </row>
    <row r="46" spans="1:28" x14ac:dyDescent="0.25">
      <c r="A46" s="93">
        <v>43</v>
      </c>
      <c r="D46" s="117" t="s">
        <v>17</v>
      </c>
      <c r="E46" s="117" t="s">
        <v>28</v>
      </c>
      <c r="F46" s="118">
        <v>-28.464663004640101</v>
      </c>
      <c r="G46" s="118">
        <v>29.716044602087173</v>
      </c>
      <c r="H46" s="118">
        <v>8.6370566716219805</v>
      </c>
      <c r="I46" s="118">
        <v>-38.225483634874465</v>
      </c>
      <c r="J46" s="118">
        <v>-23.901483464564041</v>
      </c>
      <c r="K46" s="118">
        <v>5.9270645692675004</v>
      </c>
      <c r="L46" s="118">
        <v>41.119029491331183</v>
      </c>
      <c r="M46" s="118">
        <v>0.69589880382957148</v>
      </c>
      <c r="N46" s="118">
        <v>-17.323160351579009</v>
      </c>
      <c r="O46" s="118">
        <v>-53.595296246120967</v>
      </c>
      <c r="P46" s="118">
        <v>31.790441766382184</v>
      </c>
      <c r="Q46" s="118">
        <v>-75.113204838029446</v>
      </c>
      <c r="R46" s="118">
        <v>-3.8057169699817379</v>
      </c>
      <c r="S46" s="118">
        <v>53.7022771619705</v>
      </c>
      <c r="T46" s="118">
        <v>45.777715957223819</v>
      </c>
      <c r="U46" s="118">
        <v>24.454312585679759</v>
      </c>
      <c r="V46" s="118">
        <v>-22.990023111825813</v>
      </c>
      <c r="W46" s="118">
        <v>-58.912265229990936</v>
      </c>
      <c r="X46" s="118">
        <v>64.331042149918758</v>
      </c>
      <c r="Y46" s="118">
        <v>-25.414809913390968</v>
      </c>
      <c r="Z46" s="118">
        <v>4.8776032352960286</v>
      </c>
      <c r="AA46" s="118">
        <v>29.023254936230554</v>
      </c>
      <c r="AB46" s="118">
        <v>-7.3103729875892824</v>
      </c>
    </row>
    <row r="47" spans="1:28" x14ac:dyDescent="0.25">
      <c r="A47" s="93">
        <v>44</v>
      </c>
      <c r="D47" s="114" t="s">
        <v>18</v>
      </c>
      <c r="E47" s="114" t="s">
        <v>29</v>
      </c>
      <c r="F47" s="118">
        <v>-174.56444115025084</v>
      </c>
      <c r="G47" s="118">
        <v>3962.3586210379681</v>
      </c>
      <c r="H47" s="118">
        <v>2359.158315125263</v>
      </c>
      <c r="I47" s="118">
        <v>-1907.2349986226066</v>
      </c>
      <c r="J47" s="118">
        <v>1580.7157045242295</v>
      </c>
      <c r="K47" s="118">
        <v>1045.8345062473563</v>
      </c>
      <c r="L47" s="118">
        <v>-1033.7586029616764</v>
      </c>
      <c r="M47" s="118">
        <v>3170.0510146770407</v>
      </c>
      <c r="N47" s="118">
        <v>-2625.1876175419693</v>
      </c>
      <c r="O47" s="118">
        <v>296.14887292858015</v>
      </c>
      <c r="P47" s="118">
        <v>5195.3144340791041</v>
      </c>
      <c r="Q47" s="118">
        <v>-8260.0134383479199</v>
      </c>
      <c r="R47" s="118">
        <v>-1466.5186220224787</v>
      </c>
      <c r="S47" s="118">
        <v>1234.4994411723296</v>
      </c>
      <c r="T47" s="118">
        <v>3252.3753694624388</v>
      </c>
      <c r="U47" s="118">
        <v>-1084.0110984471301</v>
      </c>
      <c r="V47" s="118">
        <v>771.0126508575612</v>
      </c>
      <c r="W47" s="118">
        <v>-338.03950370297059</v>
      </c>
      <c r="X47" s="118">
        <v>1779.6163464512322</v>
      </c>
      <c r="Y47" s="118">
        <v>1865.9521752437984</v>
      </c>
      <c r="Z47" s="118">
        <v>879.3210280327396</v>
      </c>
      <c r="AA47" s="118">
        <v>3577.5202426011047</v>
      </c>
      <c r="AB47" s="118">
        <v>579.63691253332843</v>
      </c>
    </row>
    <row r="48" spans="1:28" x14ac:dyDescent="0.25">
      <c r="A48" s="93">
        <v>45</v>
      </c>
      <c r="D48" s="114" t="s">
        <v>30</v>
      </c>
      <c r="E48" s="114" t="s">
        <v>31</v>
      </c>
      <c r="F48" s="118">
        <v>-162.8179576967832</v>
      </c>
      <c r="G48" s="118">
        <v>1824.7290863981623</v>
      </c>
      <c r="H48" s="118">
        <v>1595.861201171027</v>
      </c>
      <c r="I48" s="118">
        <v>5725.5313846662066</v>
      </c>
      <c r="J48" s="118">
        <v>-1162.2617211495676</v>
      </c>
      <c r="K48" s="118">
        <v>3779.940977062256</v>
      </c>
      <c r="L48" s="118">
        <v>2301.0713171042817</v>
      </c>
      <c r="M48" s="118">
        <v>2398.4306629511775</v>
      </c>
      <c r="N48" s="118">
        <v>-8349.8187697832363</v>
      </c>
      <c r="O48" s="118">
        <v>1130.2194285232054</v>
      </c>
      <c r="P48" s="118">
        <v>1997.5660613668056</v>
      </c>
      <c r="Q48" s="118">
        <v>6676.6971612395755</v>
      </c>
      <c r="R48" s="118">
        <v>1537.5868573198136</v>
      </c>
      <c r="S48" s="118">
        <v>4990.3303465997324</v>
      </c>
      <c r="T48" s="118">
        <v>-1198.3241675478216</v>
      </c>
      <c r="U48" s="118">
        <v>5768.1038202736272</v>
      </c>
      <c r="V48" s="118">
        <v>3017.7248207662892</v>
      </c>
      <c r="W48" s="118">
        <v>3291.0513418413484</v>
      </c>
      <c r="X48" s="118">
        <v>3218.1276972284313</v>
      </c>
      <c r="Y48" s="118">
        <v>3581.3475298690469</v>
      </c>
      <c r="Z48" s="118">
        <v>-1865.3237140849137</v>
      </c>
      <c r="AA48" s="118">
        <v>1823.6993575854635</v>
      </c>
      <c r="AB48" s="118">
        <v>2322.6352813904991</v>
      </c>
    </row>
    <row r="49" spans="1:28" ht="15.75" x14ac:dyDescent="0.25">
      <c r="A49" s="93">
        <v>46</v>
      </c>
      <c r="D49" s="112" t="s">
        <v>19</v>
      </c>
      <c r="E49" s="112" t="s">
        <v>22</v>
      </c>
      <c r="F49" s="113">
        <v>169.31450444885195</v>
      </c>
      <c r="G49" s="113">
        <v>46.571718119464549</v>
      </c>
      <c r="H49" s="113">
        <v>-927.85020734848626</v>
      </c>
      <c r="I49" s="113">
        <v>-261.11871381197636</v>
      </c>
      <c r="J49" s="113">
        <v>50.969652361838463</v>
      </c>
      <c r="K49" s="113">
        <v>44.723396915794503</v>
      </c>
      <c r="L49" s="113">
        <v>-18.512167411065331</v>
      </c>
      <c r="M49" s="113">
        <v>102.49660487104298</v>
      </c>
      <c r="N49" s="113">
        <v>267.86072482367729</v>
      </c>
      <c r="O49" s="113">
        <v>187.51898646052732</v>
      </c>
      <c r="P49" s="113">
        <v>1112.0060742871835</v>
      </c>
      <c r="Q49" s="113">
        <v>-282.72319655850112</v>
      </c>
      <c r="R49" s="113">
        <v>-26.898784944789494</v>
      </c>
      <c r="S49" s="113">
        <v>-456.49173637555003</v>
      </c>
      <c r="T49" s="113">
        <v>-58.991358507219672</v>
      </c>
      <c r="U49" s="113">
        <v>517.25655862532471</v>
      </c>
      <c r="V49" s="113">
        <v>-431.67020354665084</v>
      </c>
      <c r="W49" s="113">
        <v>11.652930841712696</v>
      </c>
      <c r="X49" s="113">
        <v>139.03131870256618</v>
      </c>
      <c r="Y49" s="113">
        <v>128.86553445287231</v>
      </c>
      <c r="Z49" s="113">
        <v>-7.3426437425309015</v>
      </c>
      <c r="AA49" s="113">
        <v>70.381511183868241</v>
      </c>
      <c r="AB49" s="113">
        <v>316.11816871930404</v>
      </c>
    </row>
    <row r="50" spans="1:28" ht="9" customHeight="1" x14ac:dyDescent="0.25">
      <c r="A50" s="93">
        <v>47</v>
      </c>
      <c r="D50" s="119"/>
      <c r="E50" s="119"/>
      <c r="F50" s="120">
        <v>0</v>
      </c>
      <c r="G50" s="120">
        <v>0</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0">
        <v>0</v>
      </c>
      <c r="Y50" s="120">
        <v>0</v>
      </c>
      <c r="Z50" s="120">
        <v>0</v>
      </c>
      <c r="AA50" s="120">
        <v>0</v>
      </c>
      <c r="AB50" s="120">
        <v>0</v>
      </c>
    </row>
    <row r="51" spans="1:28" ht="26.1" customHeight="1" x14ac:dyDescent="0.3">
      <c r="A51" s="93">
        <v>48</v>
      </c>
      <c r="B51" s="108"/>
      <c r="C51" s="110" t="s">
        <v>11</v>
      </c>
      <c r="D51" s="110"/>
      <c r="F51" s="111"/>
      <c r="G51" s="111"/>
      <c r="H51" s="111"/>
      <c r="I51" s="111"/>
      <c r="J51" s="111"/>
      <c r="K51" s="111"/>
      <c r="L51" s="111"/>
      <c r="M51" s="111"/>
      <c r="N51" s="111"/>
      <c r="O51" s="111"/>
      <c r="P51" s="111"/>
      <c r="Q51" s="111"/>
      <c r="R51" s="111"/>
      <c r="S51" s="111"/>
      <c r="T51" s="111"/>
      <c r="U51" s="111"/>
      <c r="V51" s="111"/>
      <c r="W51" s="111"/>
      <c r="X51" s="111"/>
      <c r="Y51" s="111"/>
      <c r="Z51" s="111"/>
      <c r="AA51" s="111"/>
      <c r="AB51" s="111"/>
    </row>
    <row r="52" spans="1:28" ht="18" customHeight="1" x14ac:dyDescent="0.25">
      <c r="A52" s="93">
        <v>49</v>
      </c>
      <c r="D52" s="112" t="s">
        <v>13</v>
      </c>
      <c r="E52" s="112" t="s">
        <v>35</v>
      </c>
      <c r="F52" s="113">
        <f>F53+F54+F58+F59</f>
        <v>-2029.5032434000002</v>
      </c>
      <c r="G52" s="113">
        <f t="shared" ref="G52:W52" si="32">G53+G54+G58+G59</f>
        <v>2094.3955575599898</v>
      </c>
      <c r="H52" s="113">
        <f t="shared" si="32"/>
        <v>-4.0453424899990811</v>
      </c>
      <c r="I52" s="113">
        <f t="shared" si="32"/>
        <v>919.48699931000306</v>
      </c>
      <c r="J52" s="113">
        <f t="shared" si="32"/>
        <v>-1004.2889804200099</v>
      </c>
      <c r="K52" s="113">
        <f t="shared" si="32"/>
        <v>-959.69603034999409</v>
      </c>
      <c r="L52" s="113">
        <f t="shared" si="32"/>
        <v>-834.93797497999799</v>
      </c>
      <c r="M52" s="113">
        <f t="shared" si="32"/>
        <v>119.44248135999798</v>
      </c>
      <c r="N52" s="113">
        <f t="shared" si="32"/>
        <v>-2445.2123029200002</v>
      </c>
      <c r="O52" s="113">
        <f t="shared" si="32"/>
        <v>447.78594376000001</v>
      </c>
      <c r="P52" s="113">
        <f t="shared" si="32"/>
        <v>-645.896004610001</v>
      </c>
      <c r="Q52" s="113">
        <f t="shared" si="32"/>
        <v>5556.3413531200094</v>
      </c>
      <c r="R52" s="113">
        <f t="shared" si="32"/>
        <v>4982.7760620400004</v>
      </c>
      <c r="S52" s="113">
        <f t="shared" si="32"/>
        <v>192.435281109973</v>
      </c>
      <c r="T52" s="113">
        <f t="shared" si="32"/>
        <v>-4374.4278455700014</v>
      </c>
      <c r="U52" s="113">
        <f t="shared" si="32"/>
        <v>4003.9683104200003</v>
      </c>
      <c r="V52" s="113">
        <f t="shared" si="32"/>
        <v>-96.451862630008975</v>
      </c>
      <c r="W52" s="113">
        <f t="shared" si="32"/>
        <v>-4282.5961963499994</v>
      </c>
      <c r="X52" s="113">
        <f t="shared" ref="X52:Y52" si="33">X53+X54+X58+X59</f>
        <v>2791.6878702900099</v>
      </c>
      <c r="Y52" s="113">
        <f t="shared" si="33"/>
        <v>700.48817485000689</v>
      </c>
      <c r="Z52" s="113">
        <f t="shared" ref="Z52:AA52" si="34">Z53+Z54+Z58+Z59</f>
        <v>-3004.8672562899997</v>
      </c>
      <c r="AA52" s="113">
        <f t="shared" si="34"/>
        <v>-2039.5426363799995</v>
      </c>
      <c r="AB52" s="113">
        <f t="shared" ref="AB52" si="35">AB53+AB54+AB58+AB59</f>
        <v>-924.0216521399999</v>
      </c>
    </row>
    <row r="53" spans="1:28" x14ac:dyDescent="0.25">
      <c r="A53" s="93">
        <v>50</v>
      </c>
      <c r="D53" s="114" t="s">
        <v>14</v>
      </c>
      <c r="E53" s="114" t="s">
        <v>23</v>
      </c>
      <c r="F53" s="118">
        <v>0</v>
      </c>
      <c r="G53" s="118">
        <v>0</v>
      </c>
      <c r="H53" s="118">
        <v>0</v>
      </c>
      <c r="I53" s="118">
        <v>0</v>
      </c>
      <c r="J53" s="118">
        <v>0</v>
      </c>
      <c r="K53" s="118">
        <v>0</v>
      </c>
      <c r="L53" s="118">
        <v>0</v>
      </c>
      <c r="M53" s="118">
        <v>0</v>
      </c>
      <c r="N53" s="118">
        <v>0</v>
      </c>
      <c r="O53" s="118">
        <v>0</v>
      </c>
      <c r="P53" s="118">
        <v>0</v>
      </c>
      <c r="Q53" s="118">
        <v>0</v>
      </c>
      <c r="R53" s="118">
        <v>0</v>
      </c>
      <c r="S53" s="118">
        <v>0</v>
      </c>
      <c r="T53" s="118">
        <v>0</v>
      </c>
      <c r="U53" s="118">
        <v>0</v>
      </c>
      <c r="V53" s="118">
        <v>0</v>
      </c>
      <c r="W53" s="118">
        <v>0</v>
      </c>
      <c r="X53" s="118">
        <v>0</v>
      </c>
      <c r="Y53" s="118">
        <v>0</v>
      </c>
      <c r="Z53" s="118">
        <v>0</v>
      </c>
      <c r="AA53" s="118">
        <v>0</v>
      </c>
      <c r="AB53" s="118">
        <v>0</v>
      </c>
    </row>
    <row r="54" spans="1:28" x14ac:dyDescent="0.25">
      <c r="A54" s="93">
        <v>51</v>
      </c>
      <c r="D54" s="114" t="s">
        <v>15</v>
      </c>
      <c r="E54" s="114" t="s">
        <v>0</v>
      </c>
      <c r="F54" s="116">
        <f>SUM(F55:F57)</f>
        <v>-2029.5032434000002</v>
      </c>
      <c r="G54" s="116">
        <f t="shared" ref="G54:W54" si="36">SUM(G55:G57)</f>
        <v>2094.3955575599898</v>
      </c>
      <c r="H54" s="116">
        <f t="shared" si="36"/>
        <v>-4.0453424899990811</v>
      </c>
      <c r="I54" s="116">
        <f t="shared" si="36"/>
        <v>919.48699931000306</v>
      </c>
      <c r="J54" s="116">
        <f t="shared" si="36"/>
        <v>-1004.2889804200099</v>
      </c>
      <c r="K54" s="116">
        <f t="shared" si="36"/>
        <v>-959.69603034999409</v>
      </c>
      <c r="L54" s="116">
        <f t="shared" si="36"/>
        <v>-834.93797497999799</v>
      </c>
      <c r="M54" s="116">
        <f t="shared" si="36"/>
        <v>119.44248135999798</v>
      </c>
      <c r="N54" s="116">
        <f t="shared" si="36"/>
        <v>-2445.2123029200002</v>
      </c>
      <c r="O54" s="116">
        <f t="shared" si="36"/>
        <v>447.78594376000001</v>
      </c>
      <c r="P54" s="116">
        <f t="shared" si="36"/>
        <v>-645.896004610001</v>
      </c>
      <c r="Q54" s="116">
        <f t="shared" si="36"/>
        <v>5556.3413531200094</v>
      </c>
      <c r="R54" s="116">
        <f t="shared" si="36"/>
        <v>4982.7760620400004</v>
      </c>
      <c r="S54" s="116">
        <f t="shared" si="36"/>
        <v>106.130228109973</v>
      </c>
      <c r="T54" s="116">
        <f t="shared" si="36"/>
        <v>-4545.5537795700011</v>
      </c>
      <c r="U54" s="116">
        <f t="shared" si="36"/>
        <v>4008.6366094200002</v>
      </c>
      <c r="V54" s="116">
        <f t="shared" si="36"/>
        <v>-256.39166363000896</v>
      </c>
      <c r="W54" s="116">
        <f t="shared" si="36"/>
        <v>-4390.1202053499992</v>
      </c>
      <c r="X54" s="116">
        <f t="shared" ref="X54:Y54" si="37">SUM(X55:X57)</f>
        <v>2598.41358829001</v>
      </c>
      <c r="Y54" s="116">
        <f t="shared" si="37"/>
        <v>635.70470785000691</v>
      </c>
      <c r="Z54" s="116">
        <f t="shared" ref="Z54:AA54" si="38">SUM(Z55:Z57)</f>
        <v>-2944.1711232899997</v>
      </c>
      <c r="AA54" s="116">
        <f t="shared" si="38"/>
        <v>-2192.4617043799994</v>
      </c>
      <c r="AB54" s="116">
        <f t="shared" ref="AB54" si="39">SUM(AB55:AB57)</f>
        <v>-1282.3375341399999</v>
      </c>
    </row>
    <row r="55" spans="1:28" x14ac:dyDescent="0.25">
      <c r="A55" s="93">
        <v>52</v>
      </c>
      <c r="D55" s="117" t="s">
        <v>26</v>
      </c>
      <c r="E55" s="117" t="s">
        <v>25</v>
      </c>
      <c r="F55" s="118">
        <v>-2029.5032434000002</v>
      </c>
      <c r="G55" s="118">
        <v>2094.3955575599898</v>
      </c>
      <c r="H55" s="118">
        <v>-4.0453424899990811</v>
      </c>
      <c r="I55" s="118">
        <v>919.48699931000306</v>
      </c>
      <c r="J55" s="118">
        <v>-1004.2889804200099</v>
      </c>
      <c r="K55" s="118">
        <v>-959.69603034999409</v>
      </c>
      <c r="L55" s="118">
        <v>-834.93797497999799</v>
      </c>
      <c r="M55" s="118">
        <v>119.44248135999798</v>
      </c>
      <c r="N55" s="118">
        <v>-2445.2123029200002</v>
      </c>
      <c r="O55" s="118">
        <v>447.78594376000001</v>
      </c>
      <c r="P55" s="118">
        <v>-645.896004610001</v>
      </c>
      <c r="Q55" s="118">
        <v>5556.3413531200094</v>
      </c>
      <c r="R55" s="118">
        <v>4982.7760620400004</v>
      </c>
      <c r="S55" s="118">
        <v>106.130228109973</v>
      </c>
      <c r="T55" s="118">
        <v>-4545.5537795700011</v>
      </c>
      <c r="U55" s="118">
        <v>4008.6366094200002</v>
      </c>
      <c r="V55" s="118">
        <v>-256.39166363000896</v>
      </c>
      <c r="W55" s="118">
        <v>-4390.1202053499992</v>
      </c>
      <c r="X55" s="118">
        <v>2598.41358829001</v>
      </c>
      <c r="Y55" s="118">
        <v>635.70470785000691</v>
      </c>
      <c r="Z55" s="118">
        <v>-2944.1711232899997</v>
      </c>
      <c r="AA55" s="118">
        <v>-2192.4617043799994</v>
      </c>
      <c r="AB55" s="118">
        <v>-1282.3375341399999</v>
      </c>
    </row>
    <row r="56" spans="1:28" x14ac:dyDescent="0.25">
      <c r="A56" s="93">
        <v>53</v>
      </c>
      <c r="D56" s="117" t="s">
        <v>16</v>
      </c>
      <c r="E56" s="117" t="s">
        <v>27</v>
      </c>
      <c r="F56" s="118">
        <v>0</v>
      </c>
      <c r="G56" s="118">
        <v>0</v>
      </c>
      <c r="H56" s="118">
        <v>0</v>
      </c>
      <c r="I56" s="118">
        <v>0</v>
      </c>
      <c r="J56" s="118">
        <v>0</v>
      </c>
      <c r="K56" s="118">
        <v>0</v>
      </c>
      <c r="L56" s="118">
        <v>0</v>
      </c>
      <c r="M56" s="118">
        <v>0</v>
      </c>
      <c r="N56" s="118">
        <v>0</v>
      </c>
      <c r="O56" s="118">
        <v>0</v>
      </c>
      <c r="P56" s="118">
        <v>0</v>
      </c>
      <c r="Q56" s="118">
        <v>0</v>
      </c>
      <c r="R56" s="118">
        <v>0</v>
      </c>
      <c r="S56" s="118">
        <v>0</v>
      </c>
      <c r="T56" s="118">
        <v>0</v>
      </c>
      <c r="U56" s="118">
        <v>0</v>
      </c>
      <c r="V56" s="118">
        <v>0</v>
      </c>
      <c r="W56" s="118">
        <v>0</v>
      </c>
      <c r="X56" s="118">
        <v>0</v>
      </c>
      <c r="Y56" s="118">
        <v>0</v>
      </c>
      <c r="Z56" s="118">
        <v>0</v>
      </c>
      <c r="AA56" s="118">
        <v>0</v>
      </c>
      <c r="AB56" s="118">
        <v>0</v>
      </c>
    </row>
    <row r="57" spans="1:28" x14ac:dyDescent="0.25">
      <c r="A57" s="93">
        <v>54</v>
      </c>
      <c r="D57" s="117" t="s">
        <v>17</v>
      </c>
      <c r="E57" s="117" t="s">
        <v>28</v>
      </c>
      <c r="F57" s="118">
        <v>0</v>
      </c>
      <c r="G57" s="118">
        <v>0</v>
      </c>
      <c r="H57" s="118">
        <v>0</v>
      </c>
      <c r="I57" s="118">
        <v>0</v>
      </c>
      <c r="J57" s="118">
        <v>0</v>
      </c>
      <c r="K57" s="118">
        <v>0</v>
      </c>
      <c r="L57" s="118">
        <v>0</v>
      </c>
      <c r="M57" s="118">
        <v>0</v>
      </c>
      <c r="N57" s="118">
        <v>0</v>
      </c>
      <c r="O57" s="118">
        <v>0</v>
      </c>
      <c r="P57" s="118">
        <v>0</v>
      </c>
      <c r="Q57" s="118">
        <v>0</v>
      </c>
      <c r="R57" s="118">
        <v>0</v>
      </c>
      <c r="S57" s="118">
        <v>0</v>
      </c>
      <c r="T57" s="118">
        <v>0</v>
      </c>
      <c r="U57" s="118">
        <v>0</v>
      </c>
      <c r="V57" s="118">
        <v>0</v>
      </c>
      <c r="W57" s="118">
        <v>0</v>
      </c>
      <c r="X57" s="118">
        <v>0</v>
      </c>
      <c r="Y57" s="118">
        <v>0</v>
      </c>
      <c r="Z57" s="118">
        <v>0</v>
      </c>
      <c r="AA57" s="118">
        <v>0</v>
      </c>
      <c r="AB57" s="118">
        <v>0</v>
      </c>
    </row>
    <row r="58" spans="1:28" x14ac:dyDescent="0.25">
      <c r="A58" s="93">
        <v>55</v>
      </c>
      <c r="D58" s="114" t="s">
        <v>1</v>
      </c>
      <c r="E58" s="114" t="s">
        <v>29</v>
      </c>
      <c r="F58" s="116">
        <v>0</v>
      </c>
      <c r="G58" s="116">
        <v>0</v>
      </c>
      <c r="H58" s="116">
        <v>0</v>
      </c>
      <c r="I58" s="116">
        <v>0</v>
      </c>
      <c r="J58" s="116">
        <v>0</v>
      </c>
      <c r="K58" s="116">
        <v>0</v>
      </c>
      <c r="L58" s="116">
        <v>0</v>
      </c>
      <c r="M58" s="116">
        <v>0</v>
      </c>
      <c r="N58" s="116">
        <v>0</v>
      </c>
      <c r="O58" s="116">
        <v>0</v>
      </c>
      <c r="P58" s="116">
        <v>0</v>
      </c>
      <c r="Q58" s="116">
        <v>0</v>
      </c>
      <c r="R58" s="116">
        <v>0</v>
      </c>
      <c r="S58" s="116">
        <v>0</v>
      </c>
      <c r="T58" s="116">
        <v>0</v>
      </c>
      <c r="U58" s="116">
        <v>0</v>
      </c>
      <c r="V58" s="116">
        <v>0</v>
      </c>
      <c r="W58" s="116">
        <v>0</v>
      </c>
      <c r="X58" s="116">
        <v>0</v>
      </c>
      <c r="Y58" s="116">
        <v>0</v>
      </c>
      <c r="Z58" s="116">
        <v>0</v>
      </c>
      <c r="AA58" s="116">
        <v>0</v>
      </c>
      <c r="AB58" s="116">
        <v>0</v>
      </c>
    </row>
    <row r="59" spans="1:28" x14ac:dyDescent="0.25">
      <c r="A59" s="93">
        <v>56</v>
      </c>
      <c r="D59" s="114" t="s">
        <v>30</v>
      </c>
      <c r="E59" s="114" t="s">
        <v>31</v>
      </c>
      <c r="F59" s="116">
        <v>0</v>
      </c>
      <c r="G59" s="116">
        <v>0</v>
      </c>
      <c r="H59" s="116">
        <v>0</v>
      </c>
      <c r="I59" s="116">
        <v>0</v>
      </c>
      <c r="J59" s="116">
        <v>0</v>
      </c>
      <c r="K59" s="116">
        <v>0</v>
      </c>
      <c r="L59" s="116">
        <v>0</v>
      </c>
      <c r="M59" s="116">
        <v>0</v>
      </c>
      <c r="N59" s="116">
        <v>0</v>
      </c>
      <c r="O59" s="116">
        <v>0</v>
      </c>
      <c r="P59" s="116">
        <v>0</v>
      </c>
      <c r="Q59" s="116">
        <v>0</v>
      </c>
      <c r="R59" s="116">
        <v>0</v>
      </c>
      <c r="S59" s="116">
        <v>86.305053000000001</v>
      </c>
      <c r="T59" s="116">
        <v>171.125934</v>
      </c>
      <c r="U59" s="116">
        <v>-4.6682990000000002</v>
      </c>
      <c r="V59" s="116">
        <v>159.93980099999999</v>
      </c>
      <c r="W59" s="116">
        <v>107.52400900000001</v>
      </c>
      <c r="X59" s="116">
        <v>193.274282</v>
      </c>
      <c r="Y59" s="116">
        <v>64.783467000000002</v>
      </c>
      <c r="Z59" s="116">
        <v>-60.696133000000003</v>
      </c>
      <c r="AA59" s="116">
        <v>152.91906800000001</v>
      </c>
      <c r="AB59" s="116">
        <v>358.31588199999999</v>
      </c>
    </row>
    <row r="60" spans="1:28" ht="15.75" x14ac:dyDescent="0.25">
      <c r="A60" s="93">
        <v>57</v>
      </c>
      <c r="D60" s="112" t="s">
        <v>19</v>
      </c>
      <c r="E60" s="112" t="s">
        <v>22</v>
      </c>
      <c r="F60" s="113">
        <v>2.0349829319809416</v>
      </c>
      <c r="G60" s="113">
        <v>-2.0711410102762917</v>
      </c>
      <c r="H60" s="113">
        <v>2.0962630421049031</v>
      </c>
      <c r="I60" s="113">
        <v>-2.1599119487169367</v>
      </c>
      <c r="J60" s="113">
        <v>2.1248853536658467</v>
      </c>
      <c r="K60" s="113">
        <v>-2.1848279072607739</v>
      </c>
      <c r="L60" s="113">
        <v>2.1626839948099152</v>
      </c>
      <c r="M60" s="113">
        <v>299.69967518884886</v>
      </c>
      <c r="N60" s="113">
        <v>9.6967782661465396</v>
      </c>
      <c r="O60" s="113">
        <v>195.41030881782692</v>
      </c>
      <c r="P60" s="113">
        <v>9.8303001035186828</v>
      </c>
      <c r="Q60" s="113">
        <v>-3.5815515500164627</v>
      </c>
      <c r="R60" s="113">
        <v>-7.1049734186744837</v>
      </c>
      <c r="S60" s="113">
        <v>-8.5714191378586762</v>
      </c>
      <c r="T60" s="113">
        <v>-34.678245419192088</v>
      </c>
      <c r="U60" s="113">
        <v>1.1739498830785267</v>
      </c>
      <c r="V60" s="113">
        <v>2.1426174580094974</v>
      </c>
      <c r="W60" s="113">
        <v>-6.7379418618882188</v>
      </c>
      <c r="X60" s="113">
        <v>5.6751958128278099</v>
      </c>
      <c r="Y60" s="113">
        <v>473.62284046900976</v>
      </c>
      <c r="Z60" s="113">
        <v>12.789243689389213</v>
      </c>
      <c r="AA60" s="113">
        <v>10.390104608516335</v>
      </c>
      <c r="AB60" s="113">
        <v>27.951474908871003</v>
      </c>
    </row>
    <row r="61" spans="1:28" ht="17.25" customHeight="1" x14ac:dyDescent="0.25">
      <c r="D61" s="119"/>
      <c r="E61" s="119"/>
      <c r="F61" s="120"/>
      <c r="G61" s="120"/>
      <c r="H61" s="120"/>
      <c r="I61" s="120"/>
      <c r="J61" s="120"/>
      <c r="K61" s="120"/>
      <c r="L61" s="120"/>
      <c r="M61" s="120"/>
      <c r="N61" s="120"/>
      <c r="O61" s="120"/>
      <c r="P61" s="120"/>
      <c r="Q61" s="120"/>
      <c r="R61" s="120"/>
      <c r="S61" s="120"/>
      <c r="T61" s="120"/>
      <c r="U61" s="120"/>
      <c r="V61" s="120"/>
      <c r="W61" s="120"/>
      <c r="X61" s="120"/>
      <c r="Y61" s="120"/>
      <c r="Z61" s="120"/>
      <c r="AA61" s="120"/>
      <c r="AB61" s="120"/>
    </row>
    <row r="62" spans="1:28" ht="26.1" customHeight="1" x14ac:dyDescent="0.3">
      <c r="A62" s="93">
        <v>59</v>
      </c>
      <c r="B62" s="108"/>
      <c r="C62" s="110" t="s">
        <v>6</v>
      </c>
      <c r="D62" s="110"/>
      <c r="F62" s="111"/>
      <c r="G62" s="111"/>
      <c r="H62" s="111"/>
      <c r="I62" s="111"/>
      <c r="J62" s="111"/>
      <c r="K62" s="111"/>
      <c r="L62" s="111"/>
      <c r="M62" s="111"/>
      <c r="N62" s="111"/>
      <c r="O62" s="111"/>
      <c r="P62" s="111"/>
      <c r="Q62" s="111"/>
      <c r="R62" s="111"/>
      <c r="S62" s="111"/>
      <c r="T62" s="111"/>
      <c r="U62" s="111"/>
      <c r="V62" s="111"/>
      <c r="W62" s="111"/>
      <c r="X62" s="111"/>
      <c r="Y62" s="111"/>
      <c r="Z62" s="121"/>
      <c r="AA62" s="121"/>
      <c r="AB62" s="111"/>
    </row>
    <row r="63" spans="1:28" ht="18" customHeight="1" x14ac:dyDescent="0.25">
      <c r="A63" s="93">
        <v>60</v>
      </c>
      <c r="D63" s="112" t="s">
        <v>13</v>
      </c>
      <c r="E63" s="112" t="s">
        <v>35</v>
      </c>
      <c r="F63" s="113">
        <f>F64+F65+F69+F70</f>
        <v>-50.329342569720637</v>
      </c>
      <c r="G63" s="113">
        <f t="shared" ref="G63:W63" si="40">G64+G65+G69+G70</f>
        <v>-92.15515663667415</v>
      </c>
      <c r="H63" s="113">
        <f t="shared" si="40"/>
        <v>134.95214022342913</v>
      </c>
      <c r="I63" s="113">
        <f t="shared" si="40"/>
        <v>-81.531236280496358</v>
      </c>
      <c r="J63" s="113">
        <f t="shared" si="40"/>
        <v>375.64099681345812</v>
      </c>
      <c r="K63" s="113">
        <f t="shared" si="40"/>
        <v>755.60060445332203</v>
      </c>
      <c r="L63" s="113">
        <f t="shared" si="40"/>
        <v>780.51639277364416</v>
      </c>
      <c r="M63" s="113">
        <f t="shared" si="40"/>
        <v>412.23294883501973</v>
      </c>
      <c r="N63" s="113">
        <f t="shared" si="40"/>
        <v>4626.7751622088008</v>
      </c>
      <c r="O63" s="113">
        <f t="shared" si="40"/>
        <v>-1113.5187515672567</v>
      </c>
      <c r="P63" s="113">
        <f t="shared" si="40"/>
        <v>335.78090267818732</v>
      </c>
      <c r="Q63" s="113">
        <f t="shared" si="40"/>
        <v>-2822.6561683820291</v>
      </c>
      <c r="R63" s="113">
        <f t="shared" si="40"/>
        <v>495.12460387542927</v>
      </c>
      <c r="S63" s="113">
        <f t="shared" si="40"/>
        <v>153.36847610863458</v>
      </c>
      <c r="T63" s="113">
        <f t="shared" si="40"/>
        <v>683.56025198143243</v>
      </c>
      <c r="U63" s="113">
        <f t="shared" si="40"/>
        <v>61.242814785086992</v>
      </c>
      <c r="V63" s="113">
        <f t="shared" si="40"/>
        <v>-223.67689495241788</v>
      </c>
      <c r="W63" s="113">
        <f t="shared" si="40"/>
        <v>140.30996440329528</v>
      </c>
      <c r="X63" s="113">
        <f t="shared" ref="X63:Y63" si="41">X64+X65+X69+X70</f>
        <v>489.71517937482025</v>
      </c>
      <c r="Y63" s="113">
        <f t="shared" si="41"/>
        <v>120.20935584885974</v>
      </c>
      <c r="Z63" s="113">
        <f t="shared" ref="Z63:AA63" si="42">Z64+Z65+Z69+Z70</f>
        <v>124.5591759146988</v>
      </c>
      <c r="AA63" s="113">
        <f t="shared" si="42"/>
        <v>-298.91522617346226</v>
      </c>
      <c r="AB63" s="113">
        <f t="shared" ref="AB63" si="43">AB64+AB65+AB69+AB70</f>
        <v>924.42272078978374</v>
      </c>
    </row>
    <row r="64" spans="1:28" x14ac:dyDescent="0.25">
      <c r="A64" s="93">
        <v>61</v>
      </c>
      <c r="D64" s="114" t="s">
        <v>14</v>
      </c>
      <c r="E64" s="114" t="s">
        <v>23</v>
      </c>
      <c r="F64" s="116">
        <v>65.985679477065077</v>
      </c>
      <c r="G64" s="116">
        <v>-71.127789200908197</v>
      </c>
      <c r="H64" s="116">
        <v>-81.207696108945512</v>
      </c>
      <c r="I64" s="116">
        <v>-70.220047935561979</v>
      </c>
      <c r="J64" s="116">
        <v>-7.2168155586303708</v>
      </c>
      <c r="K64" s="116">
        <v>6.1268094252472096</v>
      </c>
      <c r="L64" s="116">
        <v>33.135537797016326</v>
      </c>
      <c r="M64" s="116">
        <v>-45.526683964263356</v>
      </c>
      <c r="N64" s="116">
        <v>70.590574010147392</v>
      </c>
      <c r="O64" s="116">
        <v>86.317825786791346</v>
      </c>
      <c r="P64" s="116">
        <v>-283.61837667801342</v>
      </c>
      <c r="Q64" s="116">
        <v>-46.057936757481855</v>
      </c>
      <c r="R64" s="116">
        <v>54.383307918224553</v>
      </c>
      <c r="S64" s="116">
        <v>75.198229242518167</v>
      </c>
      <c r="T64" s="116">
        <v>-31.710352050719564</v>
      </c>
      <c r="U64" s="116">
        <v>-0.34337755485104005</v>
      </c>
      <c r="V64" s="116">
        <v>15.730160571795526</v>
      </c>
      <c r="W64" s="116">
        <v>23.798796593424008</v>
      </c>
      <c r="X64" s="116">
        <v>-3.1166962260949398</v>
      </c>
      <c r="Y64" s="116">
        <v>-34.611781817571426</v>
      </c>
      <c r="Z64" s="116">
        <v>7.8346677485712624</v>
      </c>
      <c r="AA64" s="116">
        <v>-42.099203601643822</v>
      </c>
      <c r="AB64" s="116">
        <v>-69.749793686517293</v>
      </c>
    </row>
    <row r="65" spans="1:28" x14ac:dyDescent="0.25">
      <c r="A65" s="93">
        <v>62</v>
      </c>
      <c r="D65" s="114" t="s">
        <v>15</v>
      </c>
      <c r="E65" s="114" t="s">
        <v>0</v>
      </c>
      <c r="F65" s="116">
        <f>SUM(F66:F68)</f>
        <v>-83.154449481240249</v>
      </c>
      <c r="G65" s="116">
        <f t="shared" ref="G65:W65" si="44">SUM(G66:G68)</f>
        <v>-165.13517903730079</v>
      </c>
      <c r="H65" s="116">
        <f t="shared" si="44"/>
        <v>-62.668075631996878</v>
      </c>
      <c r="I65" s="116">
        <f t="shared" si="44"/>
        <v>34.64158328663774</v>
      </c>
      <c r="J65" s="116">
        <f t="shared" si="44"/>
        <v>-6.3691301388111734</v>
      </c>
      <c r="K65" s="116">
        <f t="shared" si="44"/>
        <v>213.96359303107909</v>
      </c>
      <c r="L65" s="116">
        <f t="shared" si="44"/>
        <v>134.85509186911654</v>
      </c>
      <c r="M65" s="116">
        <f t="shared" si="44"/>
        <v>130.40739545928773</v>
      </c>
      <c r="N65" s="116">
        <f t="shared" si="44"/>
        <v>4303.3421931204866</v>
      </c>
      <c r="O65" s="116">
        <f t="shared" si="44"/>
        <v>-1227.4729024740916</v>
      </c>
      <c r="P65" s="116">
        <f t="shared" si="44"/>
        <v>189.82933972906977</v>
      </c>
      <c r="Q65" s="116">
        <f t="shared" si="44"/>
        <v>-2769.0272417881674</v>
      </c>
      <c r="R65" s="116">
        <f t="shared" si="44"/>
        <v>162.41170215659258</v>
      </c>
      <c r="S65" s="116">
        <f t="shared" si="44"/>
        <v>103.43573357263966</v>
      </c>
      <c r="T65" s="116">
        <f t="shared" si="44"/>
        <v>593.34044995955605</v>
      </c>
      <c r="U65" s="116">
        <f t="shared" si="44"/>
        <v>136.21362281167089</v>
      </c>
      <c r="V65" s="116">
        <f t="shared" si="44"/>
        <v>-175.88006990020227</v>
      </c>
      <c r="W65" s="116">
        <f t="shared" si="44"/>
        <v>199.28884810701294</v>
      </c>
      <c r="X65" s="116">
        <f t="shared" ref="X65:Y65" si="45">SUM(X66:X68)</f>
        <v>420.87284219136501</v>
      </c>
      <c r="Y65" s="116">
        <f t="shared" si="45"/>
        <v>152.44710067415667</v>
      </c>
      <c r="Z65" s="116">
        <f t="shared" ref="Z65:AA65" si="46">SUM(Z66:Z68)</f>
        <v>-45.71478354208201</v>
      </c>
      <c r="AA65" s="116">
        <f t="shared" si="46"/>
        <v>136.77056592298246</v>
      </c>
      <c r="AB65" s="116">
        <f t="shared" ref="AB65" si="47">SUM(AB66:AB68)</f>
        <v>860.54362185553418</v>
      </c>
    </row>
    <row r="66" spans="1:28" x14ac:dyDescent="0.25">
      <c r="A66" s="93">
        <v>63</v>
      </c>
      <c r="D66" s="117" t="s">
        <v>26</v>
      </c>
      <c r="E66" s="117" t="s">
        <v>25</v>
      </c>
      <c r="F66" s="118">
        <v>-77.771665481240262</v>
      </c>
      <c r="G66" s="118">
        <v>-159.90517103730079</v>
      </c>
      <c r="H66" s="118">
        <v>-61.304625631996878</v>
      </c>
      <c r="I66" s="118">
        <v>42.394544286637739</v>
      </c>
      <c r="J66" s="118">
        <v>4.7619861188832657E-2</v>
      </c>
      <c r="K66" s="118">
        <v>213.6222370310791</v>
      </c>
      <c r="L66" s="118">
        <v>121.18674886911654</v>
      </c>
      <c r="M66" s="118">
        <v>134.92329245928772</v>
      </c>
      <c r="N66" s="118">
        <v>4304.6781151204868</v>
      </c>
      <c r="O66" s="118">
        <v>-1226.4929344740915</v>
      </c>
      <c r="P66" s="118">
        <v>192.11950072906978</v>
      </c>
      <c r="Q66" s="118">
        <v>-2764.1629257881673</v>
      </c>
      <c r="R66" s="118">
        <v>165.28105915659259</v>
      </c>
      <c r="S66" s="118">
        <v>101.88853557263967</v>
      </c>
      <c r="T66" s="118">
        <v>585.963218959556</v>
      </c>
      <c r="U66" s="118">
        <v>147.12492681167089</v>
      </c>
      <c r="V66" s="118">
        <v>-168.72722290020226</v>
      </c>
      <c r="W66" s="118">
        <v>197.47997410701294</v>
      </c>
      <c r="X66" s="118">
        <v>425.66618119136501</v>
      </c>
      <c r="Y66" s="118">
        <v>150.18157267415668</v>
      </c>
      <c r="Z66" s="118">
        <v>-44.283152542082007</v>
      </c>
      <c r="AA66" s="118">
        <v>133.17887492298246</v>
      </c>
      <c r="AB66" s="118">
        <v>847.92540285553423</v>
      </c>
    </row>
    <row r="67" spans="1:28" x14ac:dyDescent="0.25">
      <c r="A67" s="93">
        <v>64</v>
      </c>
      <c r="D67" s="117" t="s">
        <v>16</v>
      </c>
      <c r="E67" s="117" t="s">
        <v>27</v>
      </c>
      <c r="F67" s="118">
        <v>-5.3827839999999849</v>
      </c>
      <c r="G67" s="118">
        <v>-5.2300080000000069</v>
      </c>
      <c r="H67" s="118">
        <v>-1.3634500000000003</v>
      </c>
      <c r="I67" s="118">
        <v>-7.7529609999999956</v>
      </c>
      <c r="J67" s="118">
        <v>-6.4167500000000057</v>
      </c>
      <c r="K67" s="118">
        <v>0.3413560000000011</v>
      </c>
      <c r="L67" s="118">
        <v>13.668343000000002</v>
      </c>
      <c r="M67" s="118">
        <v>-4.5158970000000096</v>
      </c>
      <c r="N67" s="118">
        <v>-1.3359219999999965</v>
      </c>
      <c r="O67" s="118">
        <v>-0.97996799999999595</v>
      </c>
      <c r="P67" s="118">
        <v>-2.2901609999999977</v>
      </c>
      <c r="Q67" s="118">
        <v>-4.864316000000005</v>
      </c>
      <c r="R67" s="118">
        <v>-2.8693569999999986</v>
      </c>
      <c r="S67" s="118">
        <v>1.5471979999999976</v>
      </c>
      <c r="T67" s="118">
        <v>7.3772310000000054</v>
      </c>
      <c r="U67" s="118">
        <v>-10.911304000000001</v>
      </c>
      <c r="V67" s="118">
        <v>-7.1528470000000004</v>
      </c>
      <c r="W67" s="118">
        <v>1.8088740000000019</v>
      </c>
      <c r="X67" s="118">
        <v>-4.7933390000000013</v>
      </c>
      <c r="Y67" s="118">
        <v>2.2655280000000007</v>
      </c>
      <c r="Z67" s="118">
        <v>-1.4316310000000025</v>
      </c>
      <c r="AA67" s="118">
        <v>3.5916910000000022</v>
      </c>
      <c r="AB67" s="118">
        <v>12.618219000000002</v>
      </c>
    </row>
    <row r="68" spans="1:28" x14ac:dyDescent="0.25">
      <c r="A68" s="93">
        <v>65</v>
      </c>
      <c r="D68" s="117" t="s">
        <v>17</v>
      </c>
      <c r="E68" s="117" t="s">
        <v>28</v>
      </c>
      <c r="F68" s="118">
        <v>0</v>
      </c>
      <c r="G68" s="118">
        <v>0</v>
      </c>
      <c r="H68" s="118">
        <v>0</v>
      </c>
      <c r="I68" s="118">
        <v>0</v>
      </c>
      <c r="J68" s="118">
        <v>0</v>
      </c>
      <c r="K68" s="118">
        <v>0</v>
      </c>
      <c r="L68" s="118">
        <v>0</v>
      </c>
      <c r="M68" s="118">
        <v>0</v>
      </c>
      <c r="N68" s="118">
        <v>0</v>
      </c>
      <c r="O68" s="118">
        <v>0</v>
      </c>
      <c r="P68" s="118">
        <v>0</v>
      </c>
      <c r="Q68" s="118">
        <v>0</v>
      </c>
      <c r="R68" s="118">
        <v>0</v>
      </c>
      <c r="S68" s="118">
        <v>0</v>
      </c>
      <c r="T68" s="118">
        <v>0</v>
      </c>
      <c r="U68" s="118">
        <v>0</v>
      </c>
      <c r="V68" s="118">
        <v>0</v>
      </c>
      <c r="W68" s="118">
        <v>0</v>
      </c>
      <c r="X68" s="118">
        <v>0</v>
      </c>
      <c r="Y68" s="118">
        <v>0</v>
      </c>
      <c r="Z68" s="118">
        <v>0</v>
      </c>
      <c r="AA68" s="118">
        <v>0</v>
      </c>
      <c r="AB68" s="118">
        <v>0</v>
      </c>
    </row>
    <row r="69" spans="1:28" x14ac:dyDescent="0.25">
      <c r="A69" s="93">
        <v>66</v>
      </c>
      <c r="D69" s="114" t="s">
        <v>1</v>
      </c>
      <c r="E69" s="114" t="s">
        <v>29</v>
      </c>
      <c r="F69" s="116">
        <v>-41.280443221493194</v>
      </c>
      <c r="G69" s="116">
        <v>166.46310583084511</v>
      </c>
      <c r="H69" s="116">
        <v>116.04382201477645</v>
      </c>
      <c r="I69" s="116">
        <v>107.16689242438346</v>
      </c>
      <c r="J69" s="116">
        <v>321.86123599890033</v>
      </c>
      <c r="K69" s="116">
        <v>563.23948519886494</v>
      </c>
      <c r="L69" s="116">
        <v>479.44908788053107</v>
      </c>
      <c r="M69" s="116">
        <v>300.8056179355433</v>
      </c>
      <c r="N69" s="116">
        <v>261.68789963787498</v>
      </c>
      <c r="O69" s="116">
        <v>44.796660130939188</v>
      </c>
      <c r="P69" s="116">
        <v>422.07984675801589</v>
      </c>
      <c r="Q69" s="116">
        <v>-1.781678643967435</v>
      </c>
      <c r="R69" s="116">
        <v>264.58016070641685</v>
      </c>
      <c r="S69" s="116">
        <v>10.427579055888767</v>
      </c>
      <c r="T69" s="116">
        <v>142.24026959355433</v>
      </c>
      <c r="U69" s="116">
        <v>-82.773003106432725</v>
      </c>
      <c r="V69" s="116">
        <v>-46.622157983026177</v>
      </c>
      <c r="W69" s="116">
        <v>-79.837182648573219</v>
      </c>
      <c r="X69" s="116">
        <v>74.361506746116675</v>
      </c>
      <c r="Y69" s="116">
        <v>-8.4224968012434243</v>
      </c>
      <c r="Z69" s="116">
        <v>163.32616080180134</v>
      </c>
      <c r="AA69" s="116">
        <v>-394.03156510856923</v>
      </c>
      <c r="AB69" s="116">
        <v>119.55869610473559</v>
      </c>
    </row>
    <row r="70" spans="1:28" x14ac:dyDescent="0.25">
      <c r="A70" s="93">
        <v>67</v>
      </c>
      <c r="D70" s="114" t="s">
        <v>30</v>
      </c>
      <c r="E70" s="114" t="s">
        <v>31</v>
      </c>
      <c r="F70" s="116">
        <v>8.1198706559477269</v>
      </c>
      <c r="G70" s="116">
        <v>-22.35529422931026</v>
      </c>
      <c r="H70" s="116">
        <v>162.78408994959506</v>
      </c>
      <c r="I70" s="116">
        <v>-153.11966405595558</v>
      </c>
      <c r="J70" s="116">
        <v>67.365706511999363</v>
      </c>
      <c r="K70" s="116">
        <v>-27.729283201869194</v>
      </c>
      <c r="L70" s="116">
        <v>133.07667522698026</v>
      </c>
      <c r="M70" s="116">
        <v>26.546619404452084</v>
      </c>
      <c r="N70" s="116">
        <v>-8.8455045597075905</v>
      </c>
      <c r="O70" s="116">
        <v>-17.160335010895878</v>
      </c>
      <c r="P70" s="116">
        <v>7.4900928691150579</v>
      </c>
      <c r="Q70" s="116">
        <v>-5.7893111924120815</v>
      </c>
      <c r="R70" s="116">
        <v>13.749433094195279</v>
      </c>
      <c r="S70" s="116">
        <v>-35.693065762412019</v>
      </c>
      <c r="T70" s="116">
        <v>-20.310115520958277</v>
      </c>
      <c r="U70" s="116">
        <v>8.1455726346998585</v>
      </c>
      <c r="V70" s="116">
        <v>-16.904827640984962</v>
      </c>
      <c r="W70" s="116">
        <v>-2.9404976485684635</v>
      </c>
      <c r="X70" s="116">
        <v>-2.4024733365665014</v>
      </c>
      <c r="Y70" s="116">
        <v>10.796533793517922</v>
      </c>
      <c r="Z70" s="116">
        <v>-0.88686909359177823</v>
      </c>
      <c r="AA70" s="116">
        <v>0.44497661376834152</v>
      </c>
      <c r="AB70" s="116">
        <v>14.070196516031144</v>
      </c>
    </row>
    <row r="71" spans="1:28" ht="15.75" x14ac:dyDescent="0.25">
      <c r="A71" s="93">
        <v>68</v>
      </c>
      <c r="D71" s="112" t="s">
        <v>19</v>
      </c>
      <c r="E71" s="112" t="s">
        <v>22</v>
      </c>
      <c r="F71" s="113">
        <v>-41.667071920011381</v>
      </c>
      <c r="G71" s="113">
        <v>-557.64401015892099</v>
      </c>
      <c r="H71" s="113">
        <v>32.794038958992815</v>
      </c>
      <c r="I71" s="113">
        <v>-271.07672606278925</v>
      </c>
      <c r="J71" s="113">
        <v>139.87238875842095</v>
      </c>
      <c r="K71" s="113">
        <v>-228.54665133914011</v>
      </c>
      <c r="L71" s="113">
        <v>-107.17918154662766</v>
      </c>
      <c r="M71" s="113">
        <v>430.99618190982693</v>
      </c>
      <c r="N71" s="113">
        <v>-154.85489967868199</v>
      </c>
      <c r="O71" s="113">
        <v>488.00746616838649</v>
      </c>
      <c r="P71" s="113">
        <v>574.24909876551999</v>
      </c>
      <c r="Q71" s="113">
        <v>1580.0727979252138</v>
      </c>
      <c r="R71" s="113">
        <v>-416.11891692264743</v>
      </c>
      <c r="S71" s="113">
        <v>-432.27537006226754</v>
      </c>
      <c r="T71" s="113">
        <v>-77.414424016594509</v>
      </c>
      <c r="U71" s="113">
        <v>-31.764115634232937</v>
      </c>
      <c r="V71" s="113">
        <v>268.19876019071194</v>
      </c>
      <c r="W71" s="113">
        <v>-454.29599847547308</v>
      </c>
      <c r="X71" s="113">
        <v>-104.73986468083618</v>
      </c>
      <c r="Y71" s="113">
        <v>-170.49382111239856</v>
      </c>
      <c r="Z71" s="113">
        <v>-133.30784828209499</v>
      </c>
      <c r="AA71" s="113">
        <v>506.75669621094437</v>
      </c>
      <c r="AB71" s="113">
        <v>385.04487832283974</v>
      </c>
    </row>
    <row r="72" spans="1:28" ht="9" customHeight="1" x14ac:dyDescent="0.25">
      <c r="D72" s="119"/>
      <c r="E72" s="119"/>
      <c r="F72" s="120"/>
      <c r="G72" s="120"/>
      <c r="H72" s="120"/>
      <c r="I72" s="120"/>
      <c r="J72" s="120"/>
      <c r="K72" s="120"/>
      <c r="L72" s="120"/>
      <c r="M72" s="120"/>
      <c r="N72" s="120"/>
      <c r="O72" s="120"/>
      <c r="P72" s="120"/>
      <c r="Q72" s="120"/>
      <c r="R72" s="120"/>
      <c r="S72" s="120"/>
      <c r="T72" s="120"/>
      <c r="U72" s="120"/>
      <c r="V72" s="120"/>
      <c r="W72" s="120"/>
      <c r="X72" s="120"/>
      <c r="Y72" s="120"/>
      <c r="Z72" s="120"/>
      <c r="AA72" s="120"/>
      <c r="AB72" s="120"/>
    </row>
    <row r="73" spans="1:28" ht="26.1" customHeight="1" x14ac:dyDescent="0.3">
      <c r="A73" s="93">
        <v>70</v>
      </c>
      <c r="B73" s="108"/>
      <c r="C73" s="110" t="s">
        <v>24</v>
      </c>
      <c r="D73" s="110"/>
      <c r="F73" s="111"/>
      <c r="G73" s="111"/>
      <c r="H73" s="111"/>
      <c r="I73" s="111"/>
      <c r="J73" s="111"/>
      <c r="K73" s="111"/>
      <c r="L73" s="111"/>
      <c r="M73" s="111"/>
      <c r="N73" s="111"/>
      <c r="O73" s="111"/>
      <c r="P73" s="111"/>
      <c r="Q73" s="111"/>
      <c r="R73" s="111"/>
      <c r="S73" s="111"/>
      <c r="T73" s="111"/>
      <c r="U73" s="111"/>
      <c r="V73" s="111"/>
      <c r="W73" s="111"/>
      <c r="X73" s="111"/>
      <c r="Y73" s="111"/>
      <c r="Z73" s="111"/>
      <c r="AA73" s="111"/>
      <c r="AB73" s="111"/>
    </row>
    <row r="74" spans="1:28" ht="18" customHeight="1" x14ac:dyDescent="0.25">
      <c r="A74" s="93">
        <v>71</v>
      </c>
      <c r="D74" s="112" t="s">
        <v>13</v>
      </c>
      <c r="E74" s="112" t="s">
        <v>35</v>
      </c>
      <c r="F74" s="113">
        <f>F75+F76+F80+F81</f>
        <v>-161.34439024653088</v>
      </c>
      <c r="G74" s="113">
        <f t="shared" ref="G74:W74" si="48">G75+G76+G80+G81</f>
        <v>100.37597385693952</v>
      </c>
      <c r="H74" s="113">
        <f t="shared" si="48"/>
        <v>-10.118287251690596</v>
      </c>
      <c r="I74" s="113">
        <f t="shared" si="48"/>
        <v>125.83361901098201</v>
      </c>
      <c r="J74" s="113">
        <f t="shared" si="48"/>
        <v>-75.799866128982686</v>
      </c>
      <c r="K74" s="113">
        <f t="shared" si="48"/>
        <v>-98.119575966969592</v>
      </c>
      <c r="L74" s="113">
        <f t="shared" si="48"/>
        <v>-92.684515329702037</v>
      </c>
      <c r="M74" s="113">
        <f t="shared" si="48"/>
        <v>-136.48048619589159</v>
      </c>
      <c r="N74" s="113">
        <f t="shared" si="48"/>
        <v>-218.76735413741667</v>
      </c>
      <c r="O74" s="113">
        <f t="shared" si="48"/>
        <v>-284.01791273293503</v>
      </c>
      <c r="P74" s="113">
        <f t="shared" si="48"/>
        <v>-107.67898100481987</v>
      </c>
      <c r="Q74" s="113">
        <f t="shared" si="48"/>
        <v>-150.1465709944776</v>
      </c>
      <c r="R74" s="113">
        <f t="shared" si="48"/>
        <v>-126.44762477941701</v>
      </c>
      <c r="S74" s="113">
        <f t="shared" si="48"/>
        <v>-73.451312816799629</v>
      </c>
      <c r="T74" s="113">
        <f t="shared" si="48"/>
        <v>-146.71212797524527</v>
      </c>
      <c r="U74" s="113">
        <f t="shared" si="48"/>
        <v>-35.374997602954629</v>
      </c>
      <c r="V74" s="113">
        <f t="shared" si="48"/>
        <v>673.27569193657757</v>
      </c>
      <c r="W74" s="113">
        <f t="shared" si="48"/>
        <v>-95.24783581114626</v>
      </c>
      <c r="X74" s="113">
        <f t="shared" ref="X74:Y74" si="49">X75+X76+X80+X81</f>
        <v>-238.17119094372364</v>
      </c>
      <c r="Y74" s="122">
        <f t="shared" si="49"/>
        <v>-204.33939779513062</v>
      </c>
      <c r="Z74" s="113">
        <f t="shared" ref="Z74:AA74" si="50">Z75+Z76+Z80+Z81</f>
        <v>-828.10427125886531</v>
      </c>
      <c r="AA74" s="113">
        <f t="shared" si="50"/>
        <v>-129.42014222841499</v>
      </c>
      <c r="AB74" s="113">
        <f t="shared" ref="AB74" si="51">AB75+AB76+AB80+AB81</f>
        <v>-145.03740118868066</v>
      </c>
    </row>
    <row r="75" spans="1:28" x14ac:dyDescent="0.25">
      <c r="A75" s="93">
        <v>72</v>
      </c>
      <c r="D75" s="114" t="s">
        <v>14</v>
      </c>
      <c r="E75" s="114" t="s">
        <v>23</v>
      </c>
      <c r="F75" s="118">
        <v>-119.64540488476273</v>
      </c>
      <c r="G75" s="118">
        <v>16.581520714214626</v>
      </c>
      <c r="H75" s="118">
        <v>-3.9182477167123437</v>
      </c>
      <c r="I75" s="118">
        <v>39.688616811849911</v>
      </c>
      <c r="J75" s="118">
        <v>-23.097984886307245</v>
      </c>
      <c r="K75" s="118">
        <v>2.8046693963861173</v>
      </c>
      <c r="L75" s="118">
        <v>-2.7094713669630295</v>
      </c>
      <c r="M75" s="118">
        <v>-11.224533943026955</v>
      </c>
      <c r="N75" s="118">
        <v>-30.52190336551962</v>
      </c>
      <c r="O75" s="118">
        <v>2.1394034544283755</v>
      </c>
      <c r="P75" s="118">
        <v>8.1363739089714358</v>
      </c>
      <c r="Q75" s="118">
        <v>-16.804653623547324</v>
      </c>
      <c r="R75" s="118">
        <v>7.948609803004544</v>
      </c>
      <c r="S75" s="118">
        <v>0.52712498828832111</v>
      </c>
      <c r="T75" s="118">
        <v>4.1121941112180451</v>
      </c>
      <c r="U75" s="118">
        <v>-3.3456463360711126</v>
      </c>
      <c r="V75" s="118">
        <v>731.5639451730998</v>
      </c>
      <c r="W75" s="118">
        <v>-4.240096147138118</v>
      </c>
      <c r="X75" s="118">
        <v>-2.0981099561272174</v>
      </c>
      <c r="Y75" s="123">
        <v>-1.6213805117369162</v>
      </c>
      <c r="Z75" s="118">
        <v>-728.95819374381426</v>
      </c>
      <c r="AA75" s="118">
        <v>1.2706398715204443</v>
      </c>
      <c r="AB75" s="118">
        <v>-0.69869476316534929</v>
      </c>
    </row>
    <row r="76" spans="1:28" x14ac:dyDescent="0.25">
      <c r="A76" s="93">
        <v>73</v>
      </c>
      <c r="D76" s="114" t="s">
        <v>15</v>
      </c>
      <c r="E76" s="114" t="s">
        <v>0</v>
      </c>
      <c r="F76" s="116">
        <f>SUM(F77:F79)</f>
        <v>-0.8009050000000002</v>
      </c>
      <c r="G76" s="116">
        <f t="shared" ref="G76:W76" si="52">SUM(G77:G79)</f>
        <v>-0.31528500000000004</v>
      </c>
      <c r="H76" s="116">
        <f t="shared" si="52"/>
        <v>-1.040456</v>
      </c>
      <c r="I76" s="116">
        <f t="shared" si="52"/>
        <v>16.416199999999996</v>
      </c>
      <c r="J76" s="116">
        <f t="shared" si="52"/>
        <v>1.2</v>
      </c>
      <c r="K76" s="116">
        <f t="shared" si="52"/>
        <v>14.372382999999999</v>
      </c>
      <c r="L76" s="116">
        <f t="shared" si="52"/>
        <v>0</v>
      </c>
      <c r="M76" s="116">
        <f t="shared" si="52"/>
        <v>-128.12171699999999</v>
      </c>
      <c r="N76" s="116">
        <f t="shared" si="52"/>
        <v>0</v>
      </c>
      <c r="O76" s="116">
        <f t="shared" si="52"/>
        <v>0.22188700000000017</v>
      </c>
      <c r="P76" s="116">
        <f t="shared" si="52"/>
        <v>-1.108384</v>
      </c>
      <c r="Q76" s="116">
        <f t="shared" si="52"/>
        <v>5.1081429999999992</v>
      </c>
      <c r="R76" s="116">
        <f t="shared" si="52"/>
        <v>-3.737358</v>
      </c>
      <c r="S76" s="116">
        <f t="shared" si="52"/>
        <v>-0.24253999999999998</v>
      </c>
      <c r="T76" s="116">
        <f t="shared" si="52"/>
        <v>4.9832100000000006</v>
      </c>
      <c r="U76" s="116">
        <f t="shared" si="52"/>
        <v>-5.6598850000000009</v>
      </c>
      <c r="V76" s="116">
        <f t="shared" si="52"/>
        <v>0.97118681225243075</v>
      </c>
      <c r="W76" s="116">
        <f t="shared" si="52"/>
        <v>7.3000999999999969E-2</v>
      </c>
      <c r="X76" s="116">
        <f t="shared" ref="X76:Y76" si="53">SUM(X77:X79)</f>
        <v>0.17562100000000003</v>
      </c>
      <c r="Y76" s="124">
        <f t="shared" si="53"/>
        <v>2.5468648684113027E-2</v>
      </c>
      <c r="Z76" s="116">
        <f t="shared" ref="Z76:AA76" si="54">SUM(Z77:Z79)</f>
        <v>37.297032999999999</v>
      </c>
      <c r="AA76" s="116">
        <f t="shared" si="54"/>
        <v>1.6895648200000002</v>
      </c>
      <c r="AB76" s="116">
        <f t="shared" ref="AB76" si="55">SUM(AB77:AB79)</f>
        <v>0.43900000000000006</v>
      </c>
    </row>
    <row r="77" spans="1:28" x14ac:dyDescent="0.25">
      <c r="A77" s="93">
        <v>74</v>
      </c>
      <c r="D77" s="117" t="s">
        <v>26</v>
      </c>
      <c r="E77" s="117" t="s">
        <v>25</v>
      </c>
      <c r="F77" s="118">
        <v>-0.8009050000000002</v>
      </c>
      <c r="G77" s="118">
        <v>-0.31528500000000004</v>
      </c>
      <c r="H77" s="118">
        <v>-1.040456</v>
      </c>
      <c r="I77" s="118">
        <v>16.416199999999996</v>
      </c>
      <c r="J77" s="118">
        <v>1.2</v>
      </c>
      <c r="K77" s="118">
        <v>14.372382999999999</v>
      </c>
      <c r="L77" s="118">
        <v>0</v>
      </c>
      <c r="M77" s="118">
        <v>-128.12171699999999</v>
      </c>
      <c r="N77" s="118">
        <v>0</v>
      </c>
      <c r="O77" s="118">
        <v>0.22188700000000017</v>
      </c>
      <c r="P77" s="118">
        <v>-1.108384</v>
      </c>
      <c r="Q77" s="118">
        <v>3.8081429999999994</v>
      </c>
      <c r="R77" s="118">
        <v>-3.737358</v>
      </c>
      <c r="S77" s="118">
        <v>0.11164200000000002</v>
      </c>
      <c r="T77" s="118">
        <v>0</v>
      </c>
      <c r="U77" s="118">
        <v>0.20260999999999996</v>
      </c>
      <c r="V77" s="118">
        <v>3.7486812252430779E-2</v>
      </c>
      <c r="W77" s="118">
        <v>8.8801000000000005E-2</v>
      </c>
      <c r="X77" s="118">
        <v>1.568721</v>
      </c>
      <c r="Y77" s="123">
        <v>2.5468648684113027E-2</v>
      </c>
      <c r="Z77" s="118">
        <v>-2.037747</v>
      </c>
      <c r="AA77" s="118">
        <v>1.6895648200000002</v>
      </c>
      <c r="AB77" s="118">
        <v>0.43900000000000006</v>
      </c>
    </row>
    <row r="78" spans="1:28" x14ac:dyDescent="0.25">
      <c r="A78" s="93">
        <v>75</v>
      </c>
      <c r="D78" s="117" t="s">
        <v>16</v>
      </c>
      <c r="E78" s="117" t="s">
        <v>27</v>
      </c>
      <c r="F78" s="118">
        <v>0</v>
      </c>
      <c r="G78" s="118">
        <v>0</v>
      </c>
      <c r="H78" s="118">
        <v>0</v>
      </c>
      <c r="I78" s="118">
        <v>0</v>
      </c>
      <c r="J78" s="118">
        <v>0</v>
      </c>
      <c r="K78" s="118">
        <v>0</v>
      </c>
      <c r="L78" s="118">
        <v>0</v>
      </c>
      <c r="M78" s="118">
        <v>0</v>
      </c>
      <c r="N78" s="118">
        <v>0</v>
      </c>
      <c r="O78" s="118">
        <v>0</v>
      </c>
      <c r="P78" s="118">
        <v>0</v>
      </c>
      <c r="Q78" s="118">
        <v>1.3</v>
      </c>
      <c r="R78" s="118">
        <v>0</v>
      </c>
      <c r="S78" s="118">
        <v>-0.354182</v>
      </c>
      <c r="T78" s="118">
        <v>4.9832100000000006</v>
      </c>
      <c r="U78" s="118">
        <v>-5.8624950000000009</v>
      </c>
      <c r="V78" s="118">
        <v>0.93369999999999997</v>
      </c>
      <c r="W78" s="118">
        <v>-1.5800000000000036E-2</v>
      </c>
      <c r="X78" s="118">
        <v>-1.3931</v>
      </c>
      <c r="Y78" s="123">
        <v>0</v>
      </c>
      <c r="Z78" s="118">
        <v>39.334780000000002</v>
      </c>
      <c r="AA78" s="118">
        <v>0</v>
      </c>
      <c r="AB78" s="118">
        <v>0</v>
      </c>
    </row>
    <row r="79" spans="1:28" x14ac:dyDescent="0.25">
      <c r="A79" s="93">
        <v>76</v>
      </c>
      <c r="D79" s="117" t="s">
        <v>17</v>
      </c>
      <c r="E79" s="117" t="s">
        <v>28</v>
      </c>
      <c r="F79" s="118">
        <v>0</v>
      </c>
      <c r="G79" s="118">
        <v>0</v>
      </c>
      <c r="H79" s="118">
        <v>0</v>
      </c>
      <c r="I79" s="118">
        <v>0</v>
      </c>
      <c r="J79" s="118">
        <v>0</v>
      </c>
      <c r="K79" s="118">
        <v>0</v>
      </c>
      <c r="L79" s="118">
        <v>0</v>
      </c>
      <c r="M79" s="118">
        <v>0</v>
      </c>
      <c r="N79" s="118">
        <v>0</v>
      </c>
      <c r="O79" s="118">
        <v>0</v>
      </c>
      <c r="P79" s="118">
        <v>0</v>
      </c>
      <c r="Q79" s="118">
        <v>0</v>
      </c>
      <c r="R79" s="118">
        <v>0</v>
      </c>
      <c r="S79" s="118">
        <v>0</v>
      </c>
      <c r="T79" s="118">
        <v>0</v>
      </c>
      <c r="U79" s="118">
        <v>0</v>
      </c>
      <c r="V79" s="118">
        <v>0</v>
      </c>
      <c r="W79" s="118">
        <v>0</v>
      </c>
      <c r="X79" s="118">
        <v>0</v>
      </c>
      <c r="Y79" s="123">
        <v>0</v>
      </c>
      <c r="Z79" s="118">
        <v>0</v>
      </c>
      <c r="AA79" s="118">
        <v>0</v>
      </c>
      <c r="AB79" s="118">
        <v>0</v>
      </c>
    </row>
    <row r="80" spans="1:28" x14ac:dyDescent="0.25">
      <c r="A80" s="93">
        <v>77</v>
      </c>
      <c r="D80" s="114" t="s">
        <v>1</v>
      </c>
      <c r="E80" s="114" t="s">
        <v>29</v>
      </c>
      <c r="F80" s="116">
        <v>0</v>
      </c>
      <c r="G80" s="116">
        <v>0</v>
      </c>
      <c r="H80" s="116">
        <v>0</v>
      </c>
      <c r="I80" s="116">
        <v>0</v>
      </c>
      <c r="J80" s="116">
        <v>0</v>
      </c>
      <c r="K80" s="116">
        <v>0</v>
      </c>
      <c r="L80" s="116">
        <v>0</v>
      </c>
      <c r="M80" s="116">
        <v>0</v>
      </c>
      <c r="N80" s="116">
        <v>0</v>
      </c>
      <c r="O80" s="116">
        <v>0</v>
      </c>
      <c r="P80" s="116">
        <v>0</v>
      </c>
      <c r="Q80" s="116">
        <v>0</v>
      </c>
      <c r="R80" s="116">
        <v>0</v>
      </c>
      <c r="S80" s="116">
        <v>0</v>
      </c>
      <c r="T80" s="116">
        <v>0</v>
      </c>
      <c r="U80" s="116">
        <v>0</v>
      </c>
      <c r="V80" s="116">
        <v>0</v>
      </c>
      <c r="W80" s="116">
        <v>0</v>
      </c>
      <c r="X80" s="116">
        <v>0</v>
      </c>
      <c r="Y80" s="124">
        <v>0</v>
      </c>
      <c r="Z80" s="116">
        <v>0</v>
      </c>
      <c r="AA80" s="116">
        <v>0</v>
      </c>
      <c r="AB80" s="116">
        <v>0</v>
      </c>
    </row>
    <row r="81" spans="1:28" x14ac:dyDescent="0.25">
      <c r="A81" s="93">
        <v>78</v>
      </c>
      <c r="D81" s="114" t="s">
        <v>30</v>
      </c>
      <c r="E81" s="114" t="s">
        <v>31</v>
      </c>
      <c r="F81" s="116">
        <v>-40.898080361768145</v>
      </c>
      <c r="G81" s="116">
        <v>84.109738142724893</v>
      </c>
      <c r="H81" s="116">
        <v>-5.1595835349782515</v>
      </c>
      <c r="I81" s="116">
        <v>69.728802199132105</v>
      </c>
      <c r="J81" s="116">
        <v>-53.901881242675444</v>
      </c>
      <c r="K81" s="116">
        <v>-115.29662836335571</v>
      </c>
      <c r="L81" s="116">
        <v>-89.975043962739008</v>
      </c>
      <c r="M81" s="116">
        <v>2.8657647471353513</v>
      </c>
      <c r="N81" s="116">
        <v>-188.24545077189705</v>
      </c>
      <c r="O81" s="116">
        <v>-286.37920318736343</v>
      </c>
      <c r="P81" s="116">
        <v>-114.70697091379131</v>
      </c>
      <c r="Q81" s="116">
        <v>-138.45006037093026</v>
      </c>
      <c r="R81" s="116">
        <v>-130.65887658242156</v>
      </c>
      <c r="S81" s="116">
        <v>-73.735897805087944</v>
      </c>
      <c r="T81" s="116">
        <v>-155.80753208646331</v>
      </c>
      <c r="U81" s="116">
        <v>-26.369466266883517</v>
      </c>
      <c r="V81" s="116">
        <v>-59.259440048774621</v>
      </c>
      <c r="W81" s="116">
        <v>-91.080740664008147</v>
      </c>
      <c r="X81" s="116">
        <v>-236.24870198759643</v>
      </c>
      <c r="Y81" s="124">
        <v>-202.74348593207782</v>
      </c>
      <c r="Z81" s="116">
        <v>-136.44311051505116</v>
      </c>
      <c r="AA81" s="116">
        <v>-132.38034691993542</v>
      </c>
      <c r="AB81" s="116">
        <v>-144.7777064255153</v>
      </c>
    </row>
    <row r="82" spans="1:28" ht="15.75" x14ac:dyDescent="0.25">
      <c r="A82" s="93">
        <v>79</v>
      </c>
      <c r="D82" s="112" t="s">
        <v>19</v>
      </c>
      <c r="E82" s="112" t="s">
        <v>22</v>
      </c>
      <c r="F82" s="113">
        <v>371.06257152069696</v>
      </c>
      <c r="G82" s="113">
        <v>115.87245176574972</v>
      </c>
      <c r="H82" s="113">
        <v>315.07239755328374</v>
      </c>
      <c r="I82" s="113">
        <v>390.80586816463631</v>
      </c>
      <c r="J82" s="113">
        <v>330.28947406100519</v>
      </c>
      <c r="K82" s="113">
        <v>462.30252551331375</v>
      </c>
      <c r="L82" s="113">
        <v>200.41218977323854</v>
      </c>
      <c r="M82" s="113">
        <v>537.16668769904436</v>
      </c>
      <c r="N82" s="113">
        <v>805.33728542606673</v>
      </c>
      <c r="O82" s="113">
        <v>765.03151625373812</v>
      </c>
      <c r="P82" s="113">
        <v>991.76916938907323</v>
      </c>
      <c r="Q82" s="113">
        <v>679.23258608235426</v>
      </c>
      <c r="R82" s="113">
        <v>919.36025453557841</v>
      </c>
      <c r="S82" s="113">
        <v>428.92000496763848</v>
      </c>
      <c r="T82" s="113">
        <v>1950.3251436063963</v>
      </c>
      <c r="U82" s="113">
        <v>367.9573086997076</v>
      </c>
      <c r="V82" s="113">
        <v>-136.45775744419905</v>
      </c>
      <c r="W82" s="113">
        <v>951.69228731720568</v>
      </c>
      <c r="X82" s="113">
        <v>2103.471864124655</v>
      </c>
      <c r="Y82" s="122">
        <v>2383.5863257234</v>
      </c>
      <c r="Z82" s="113">
        <v>1611.4442251082887</v>
      </c>
      <c r="AA82" s="113">
        <v>1433.0162687323018</v>
      </c>
      <c r="AB82" s="113">
        <v>1297.008947151548</v>
      </c>
    </row>
    <row r="83" spans="1:28" ht="18" customHeight="1" x14ac:dyDescent="0.25">
      <c r="A83" s="93">
        <v>80</v>
      </c>
      <c r="D83" s="119"/>
      <c r="E83" s="119"/>
      <c r="F83" s="120">
        <v>0</v>
      </c>
      <c r="G83" s="120">
        <v>0</v>
      </c>
      <c r="H83" s="120">
        <v>0</v>
      </c>
      <c r="I83" s="120">
        <v>0</v>
      </c>
      <c r="J83" s="120">
        <v>0</v>
      </c>
      <c r="K83" s="120">
        <v>0</v>
      </c>
      <c r="L83" s="120">
        <v>0</v>
      </c>
      <c r="M83" s="120">
        <v>0</v>
      </c>
      <c r="N83" s="120">
        <v>0</v>
      </c>
      <c r="O83" s="120">
        <v>0</v>
      </c>
      <c r="P83" s="120">
        <v>0</v>
      </c>
      <c r="Q83" s="120">
        <v>0</v>
      </c>
      <c r="R83" s="120">
        <v>0</v>
      </c>
      <c r="S83" s="120">
        <v>0</v>
      </c>
      <c r="T83" s="120">
        <v>0</v>
      </c>
      <c r="U83" s="120">
        <v>0</v>
      </c>
      <c r="V83" s="120">
        <v>0</v>
      </c>
      <c r="W83" s="120">
        <v>0</v>
      </c>
      <c r="X83" s="120">
        <v>0</v>
      </c>
      <c r="Y83" s="125">
        <v>0</v>
      </c>
      <c r="Z83" s="120">
        <v>0</v>
      </c>
      <c r="AA83" s="120">
        <v>0</v>
      </c>
      <c r="AB83" s="120">
        <v>0</v>
      </c>
    </row>
    <row r="84" spans="1:28" ht="35.1" customHeight="1" x14ac:dyDescent="0.3">
      <c r="A84" s="93">
        <v>81</v>
      </c>
      <c r="B84" s="107" t="s">
        <v>58</v>
      </c>
      <c r="C84" s="108"/>
      <c r="D84" s="108"/>
      <c r="F84" s="111"/>
      <c r="G84" s="111"/>
      <c r="H84" s="111"/>
      <c r="I84" s="111"/>
      <c r="J84" s="111"/>
      <c r="K84" s="111"/>
      <c r="L84" s="111"/>
      <c r="M84" s="111"/>
      <c r="N84" s="111"/>
      <c r="O84" s="111"/>
      <c r="P84" s="111"/>
      <c r="Q84" s="111"/>
      <c r="R84" s="111"/>
      <c r="S84" s="111"/>
      <c r="T84" s="111"/>
      <c r="U84" s="111"/>
      <c r="V84" s="111"/>
      <c r="W84" s="111"/>
      <c r="X84" s="111"/>
      <c r="Y84" s="126"/>
      <c r="Z84" s="111"/>
      <c r="AA84" s="111"/>
      <c r="AB84" s="111"/>
    </row>
    <row r="85" spans="1:28" ht="26.1" customHeight="1" x14ac:dyDescent="0.3">
      <c r="A85" s="93">
        <v>82</v>
      </c>
      <c r="B85" s="108"/>
      <c r="C85" s="110" t="s">
        <v>10</v>
      </c>
      <c r="D85" s="110"/>
      <c r="F85" s="111"/>
      <c r="G85" s="111"/>
      <c r="H85" s="111"/>
      <c r="I85" s="111"/>
      <c r="J85" s="111"/>
      <c r="K85" s="111"/>
      <c r="L85" s="111"/>
      <c r="M85" s="111"/>
      <c r="N85" s="111"/>
      <c r="O85" s="111"/>
      <c r="P85" s="111"/>
      <c r="Q85" s="111"/>
      <c r="R85" s="111"/>
      <c r="S85" s="111"/>
      <c r="T85" s="111"/>
      <c r="U85" s="111"/>
      <c r="V85" s="111"/>
      <c r="W85" s="111"/>
      <c r="X85" s="111"/>
      <c r="Y85" s="126"/>
      <c r="Z85" s="111"/>
      <c r="AA85" s="111"/>
      <c r="AB85" s="111"/>
    </row>
    <row r="86" spans="1:28" ht="18" customHeight="1" x14ac:dyDescent="0.25">
      <c r="A86" s="93">
        <v>83</v>
      </c>
      <c r="D86" s="112" t="s">
        <v>13</v>
      </c>
      <c r="E86" s="112" t="s">
        <v>35</v>
      </c>
      <c r="F86" s="113">
        <f>F87+F88+F92+F93</f>
        <v>988.28682000568892</v>
      </c>
      <c r="G86" s="113">
        <f t="shared" ref="G86:I86" si="56">G87+G88+G92+G93</f>
        <v>5092.7187338567237</v>
      </c>
      <c r="H86" s="113">
        <f t="shared" si="56"/>
        <v>7999.5870953397516</v>
      </c>
      <c r="I86" s="113">
        <f t="shared" si="56"/>
        <v>7242.8035559422733</v>
      </c>
      <c r="J86" s="113">
        <f>J87+J88+J92+J93</f>
        <v>-255.99952674219935</v>
      </c>
      <c r="K86" s="113">
        <f t="shared" ref="K86" si="57">K87+K88+K92+K93</f>
        <v>5354.7025338497015</v>
      </c>
      <c r="L86" s="113">
        <f t="shared" ref="L86" si="58">L87+L88+L92+L93</f>
        <v>5591.5806372760326</v>
      </c>
      <c r="M86" s="113">
        <f t="shared" ref="M86" si="59">M87+M88+M92+M93</f>
        <v>7811.1884550288651</v>
      </c>
      <c r="N86" s="113">
        <f>N87+N88+N92+N93</f>
        <v>-8519.4571600664913</v>
      </c>
      <c r="O86" s="113">
        <f t="shared" ref="O86" si="60">O87+O88+O92+O93</f>
        <v>4912.4390286726502</v>
      </c>
      <c r="P86" s="113">
        <f t="shared" ref="P86" si="61">P87+P88+P92+P93</f>
        <v>17786.521888693103</v>
      </c>
      <c r="Q86" s="113">
        <f t="shared" ref="Q86" si="62">Q87+Q88+Q92+Q93</f>
        <v>-201.68531716942925</v>
      </c>
      <c r="R86" s="113">
        <f>R87+R88+R92+R93</f>
        <v>4528.4623228038854</v>
      </c>
      <c r="S86" s="113">
        <f t="shared" ref="S86" si="63">S87+S88+S92+S93</f>
        <v>11172.522359254635</v>
      </c>
      <c r="T86" s="113">
        <f t="shared" ref="T86" si="64">T87+T88+T92+T93</f>
        <v>5428.0959959014326</v>
      </c>
      <c r="U86" s="113">
        <f t="shared" ref="U86" si="65">U87+U88+U92+U93</f>
        <v>10439.838992675963</v>
      </c>
      <c r="V86" s="113">
        <f>V87+V88+V92+V93</f>
        <v>4480.0045764455635</v>
      </c>
      <c r="W86" s="113">
        <f t="shared" ref="W86:X86" si="66">W87+W88+W92+W93</f>
        <v>4441.49183079049</v>
      </c>
      <c r="X86" s="113">
        <f t="shared" si="66"/>
        <v>5293.4754011893729</v>
      </c>
      <c r="Y86" s="113">
        <f t="shared" ref="Y86:Z86" si="67">Y87+Y88+Y92+Y93</f>
        <v>4147.0242490410828</v>
      </c>
      <c r="Z86" s="113">
        <f t="shared" si="67"/>
        <v>-1093.9737915582361</v>
      </c>
      <c r="AA86" s="113">
        <f t="shared" ref="AA86:AB86" si="68">AA87+AA88+AA92+AA93</f>
        <v>8508.321697076748</v>
      </c>
      <c r="AB86" s="113">
        <f t="shared" si="68"/>
        <v>7122.7617344714636</v>
      </c>
    </row>
    <row r="87" spans="1:28" x14ac:dyDescent="0.25">
      <c r="A87" s="93">
        <v>84</v>
      </c>
      <c r="D87" s="114" t="s">
        <v>14</v>
      </c>
      <c r="E87" s="114" t="s">
        <v>23</v>
      </c>
      <c r="F87" s="116">
        <v>964.76267466504055</v>
      </c>
      <c r="G87" s="116">
        <v>2174.0631628763108</v>
      </c>
      <c r="H87" s="116">
        <v>2088.0318929639889</v>
      </c>
      <c r="I87" s="116">
        <v>1353.4020798169033</v>
      </c>
      <c r="J87" s="116">
        <v>764.37888859159966</v>
      </c>
      <c r="K87" s="116">
        <v>1415.4342688880149</v>
      </c>
      <c r="L87" s="116">
        <v>1962.3777561017341</v>
      </c>
      <c r="M87" s="116">
        <v>1531.5142496106291</v>
      </c>
      <c r="N87" s="116">
        <v>-286.02169101710956</v>
      </c>
      <c r="O87" s="116">
        <v>731.51444023052704</v>
      </c>
      <c r="P87" s="116">
        <v>937.18616021010541</v>
      </c>
      <c r="Q87" s="116">
        <v>2380.4398485898241</v>
      </c>
      <c r="R87" s="116">
        <v>3220.2370162413126</v>
      </c>
      <c r="S87" s="116">
        <v>2937.8150202534357</v>
      </c>
      <c r="T87" s="116">
        <v>3629.0968730471695</v>
      </c>
      <c r="U87" s="116">
        <v>3978.777906115949</v>
      </c>
      <c r="V87" s="116">
        <v>1124.9071463821379</v>
      </c>
      <c r="W87" s="116">
        <v>1301.6557880356306</v>
      </c>
      <c r="X87" s="116">
        <v>2439.0053945275622</v>
      </c>
      <c r="Y87" s="116">
        <v>2156.4659508955187</v>
      </c>
      <c r="Z87" s="116">
        <v>3002.4189337249923</v>
      </c>
      <c r="AA87" s="116">
        <v>3404.3050742919463</v>
      </c>
      <c r="AB87" s="116">
        <v>2584.9547354451861</v>
      </c>
    </row>
    <row r="88" spans="1:28" x14ac:dyDescent="0.25">
      <c r="A88" s="93">
        <v>85</v>
      </c>
      <c r="D88" s="114" t="s">
        <v>15</v>
      </c>
      <c r="E88" s="114" t="s">
        <v>0</v>
      </c>
      <c r="F88" s="116">
        <f>SUM(F89:F91)</f>
        <v>360.90654418768236</v>
      </c>
      <c r="G88" s="116">
        <f t="shared" ref="G88:I88" si="69">SUM(G89:G91)</f>
        <v>-2868.4321364557177</v>
      </c>
      <c r="H88" s="116">
        <f t="shared" si="69"/>
        <v>1956.5356860794739</v>
      </c>
      <c r="I88" s="116">
        <f t="shared" si="69"/>
        <v>2071.10509008177</v>
      </c>
      <c r="J88" s="116">
        <f>SUM(J89:J91)</f>
        <v>-1438.8323987084609</v>
      </c>
      <c r="K88" s="116">
        <f t="shared" ref="K88" si="70">SUM(K89:K91)</f>
        <v>-886.50721834792603</v>
      </c>
      <c r="L88" s="116">
        <f t="shared" ref="L88" si="71">SUM(L89:L91)</f>
        <v>2361.8901670316927</v>
      </c>
      <c r="M88" s="116">
        <f t="shared" ref="M88" si="72">SUM(M89:M91)</f>
        <v>711.19252779001738</v>
      </c>
      <c r="N88" s="116">
        <f>SUM(N89:N91)</f>
        <v>2741.5709182758237</v>
      </c>
      <c r="O88" s="116">
        <f t="shared" ref="O88" si="73">SUM(O89:O91)</f>
        <v>2754.5562869903374</v>
      </c>
      <c r="P88" s="116">
        <f t="shared" ref="P88" si="74">SUM(P89:P91)</f>
        <v>9656.4552330370898</v>
      </c>
      <c r="Q88" s="116">
        <f t="shared" ref="Q88" si="75">SUM(Q89:Q91)</f>
        <v>-998.80888865090958</v>
      </c>
      <c r="R88" s="116">
        <f>SUM(R89:R91)</f>
        <v>1237.1570712652372</v>
      </c>
      <c r="S88" s="116">
        <f t="shared" ref="S88" si="76">SUM(S89:S91)</f>
        <v>2009.8775512291375</v>
      </c>
      <c r="T88" s="116">
        <f t="shared" ref="T88" si="77">SUM(T89:T91)</f>
        <v>-255.05207906035369</v>
      </c>
      <c r="U88" s="116">
        <f t="shared" ref="U88" si="78">SUM(U89:U91)</f>
        <v>1776.968364733516</v>
      </c>
      <c r="V88" s="116">
        <f>SUM(V89:V91)</f>
        <v>-433.64004156042466</v>
      </c>
      <c r="W88" s="116">
        <f t="shared" ref="W88:X88" si="79">SUM(W89:W91)</f>
        <v>186.82420461648209</v>
      </c>
      <c r="X88" s="116">
        <f t="shared" si="79"/>
        <v>-2143.2740370178531</v>
      </c>
      <c r="Y88" s="116">
        <f t="shared" ref="Y88:Z88" si="80">SUM(Y89:Y91)</f>
        <v>-3456.7414069672814</v>
      </c>
      <c r="Z88" s="116">
        <f t="shared" si="80"/>
        <v>-3110.3900392310543</v>
      </c>
      <c r="AA88" s="116">
        <f t="shared" ref="AA88:AB88" si="81">SUM(AA89:AA91)</f>
        <v>-297.20297740176704</v>
      </c>
      <c r="AB88" s="116">
        <f t="shared" si="81"/>
        <v>1635.53480510245</v>
      </c>
    </row>
    <row r="89" spans="1:28" x14ac:dyDescent="0.25">
      <c r="A89" s="93">
        <v>86</v>
      </c>
      <c r="D89" s="117" t="s">
        <v>26</v>
      </c>
      <c r="E89" s="117" t="s">
        <v>25</v>
      </c>
      <c r="F89" s="118">
        <v>341.43355802958706</v>
      </c>
      <c r="G89" s="118">
        <v>-3071.9628268996103</v>
      </c>
      <c r="H89" s="118">
        <v>2009.0056605197387</v>
      </c>
      <c r="I89" s="118">
        <v>2118.1202473588851</v>
      </c>
      <c r="J89" s="118">
        <v>-1382.5653683191001</v>
      </c>
      <c r="K89" s="118">
        <v>-923.2378962797203</v>
      </c>
      <c r="L89" s="118">
        <v>1840.507447299417</v>
      </c>
      <c r="M89" s="118">
        <v>784.49111952081898</v>
      </c>
      <c r="N89" s="118">
        <v>2249.5656984400102</v>
      </c>
      <c r="O89" s="118">
        <v>3012.9273919716597</v>
      </c>
      <c r="P89" s="118">
        <v>9783.7205937803392</v>
      </c>
      <c r="Q89" s="118">
        <v>-763.09733414512016</v>
      </c>
      <c r="R89" s="118">
        <v>1176.9252967614198</v>
      </c>
      <c r="S89" s="118">
        <v>1753.8829046986505</v>
      </c>
      <c r="T89" s="118">
        <v>-127.69880413747001</v>
      </c>
      <c r="U89" s="118">
        <v>1334.2222747980418</v>
      </c>
      <c r="V89" s="118">
        <v>-404.28008309869307</v>
      </c>
      <c r="W89" s="118">
        <v>289.66525377028012</v>
      </c>
      <c r="X89" s="118">
        <v>-2338.1112586373092</v>
      </c>
      <c r="Y89" s="118">
        <v>-3126.380146140541</v>
      </c>
      <c r="Z89" s="118">
        <v>-3543.3764072993881</v>
      </c>
      <c r="AA89" s="118">
        <v>-443.29844994046033</v>
      </c>
      <c r="AB89" s="118">
        <v>1320.8849809994704</v>
      </c>
    </row>
    <row r="90" spans="1:28" x14ac:dyDescent="0.25">
      <c r="A90" s="93">
        <v>87</v>
      </c>
      <c r="D90" s="117" t="s">
        <v>16</v>
      </c>
      <c r="E90" s="117" t="s">
        <v>27</v>
      </c>
      <c r="F90" s="118">
        <v>47.937649162735383</v>
      </c>
      <c r="G90" s="118">
        <v>173.81464584180537</v>
      </c>
      <c r="H90" s="118">
        <v>-61.107031111887032</v>
      </c>
      <c r="I90" s="118">
        <v>-8.7896736422408015</v>
      </c>
      <c r="J90" s="118">
        <v>-32.365546924796618</v>
      </c>
      <c r="K90" s="118">
        <v>30.803613362526846</v>
      </c>
      <c r="L90" s="118">
        <v>480.26369024094436</v>
      </c>
      <c r="M90" s="118">
        <v>-73.994490534631126</v>
      </c>
      <c r="N90" s="118">
        <v>509.32838018739255</v>
      </c>
      <c r="O90" s="118">
        <v>-204.77580873520134</v>
      </c>
      <c r="P90" s="118">
        <v>-159.05580250963206</v>
      </c>
      <c r="Q90" s="118">
        <v>-160.59834966775992</v>
      </c>
      <c r="R90" s="118">
        <v>64.037491473798951</v>
      </c>
      <c r="S90" s="118">
        <v>202.29236936851649</v>
      </c>
      <c r="T90" s="118">
        <v>-173.1309908801075</v>
      </c>
      <c r="U90" s="118">
        <v>418.29177734979419</v>
      </c>
      <c r="V90" s="118">
        <v>-6.3699353499058162</v>
      </c>
      <c r="W90" s="118">
        <v>-43.928783923807075</v>
      </c>
      <c r="X90" s="118">
        <v>130.50617946953739</v>
      </c>
      <c r="Y90" s="118">
        <v>-304.94645091334974</v>
      </c>
      <c r="Z90" s="118">
        <v>428.10876483303764</v>
      </c>
      <c r="AA90" s="118">
        <v>117.07221760246273</v>
      </c>
      <c r="AB90" s="118">
        <v>321.9601970905689</v>
      </c>
    </row>
    <row r="91" spans="1:28" x14ac:dyDescent="0.25">
      <c r="A91" s="93">
        <v>88</v>
      </c>
      <c r="D91" s="117" t="s">
        <v>17</v>
      </c>
      <c r="E91" s="117" t="s">
        <v>28</v>
      </c>
      <c r="F91" s="118">
        <v>-28.464663004640101</v>
      </c>
      <c r="G91" s="118">
        <v>29.716044602087173</v>
      </c>
      <c r="H91" s="118">
        <v>8.6370566716219805</v>
      </c>
      <c r="I91" s="118">
        <v>-38.225483634874465</v>
      </c>
      <c r="J91" s="118">
        <v>-23.901483464564041</v>
      </c>
      <c r="K91" s="118">
        <v>5.9270645692675004</v>
      </c>
      <c r="L91" s="118">
        <v>41.119029491331183</v>
      </c>
      <c r="M91" s="118">
        <v>0.69589880382957148</v>
      </c>
      <c r="N91" s="118">
        <v>-17.323160351579009</v>
      </c>
      <c r="O91" s="118">
        <v>-53.595296246120967</v>
      </c>
      <c r="P91" s="118">
        <v>31.790441766382184</v>
      </c>
      <c r="Q91" s="118">
        <v>-75.113204838029446</v>
      </c>
      <c r="R91" s="118">
        <v>-3.8057169699817379</v>
      </c>
      <c r="S91" s="118">
        <v>53.7022771619705</v>
      </c>
      <c r="T91" s="118">
        <v>45.777715957223819</v>
      </c>
      <c r="U91" s="118">
        <v>24.454312585679759</v>
      </c>
      <c r="V91" s="118">
        <v>-22.990023111825813</v>
      </c>
      <c r="W91" s="118">
        <v>-58.912265229990936</v>
      </c>
      <c r="X91" s="118">
        <v>64.331042149918758</v>
      </c>
      <c r="Y91" s="118">
        <v>-25.414809913390968</v>
      </c>
      <c r="Z91" s="118">
        <v>4.8776032352960286</v>
      </c>
      <c r="AA91" s="118">
        <v>29.023254936230554</v>
      </c>
      <c r="AB91" s="118">
        <v>-7.3103729875892824</v>
      </c>
    </row>
    <row r="92" spans="1:28" x14ac:dyDescent="0.25">
      <c r="A92" s="93">
        <v>89</v>
      </c>
      <c r="D92" s="114" t="s">
        <v>18</v>
      </c>
      <c r="E92" s="114" t="s">
        <v>29</v>
      </c>
      <c r="F92" s="118">
        <v>-174.56444115025084</v>
      </c>
      <c r="G92" s="118">
        <v>3962.3586210379681</v>
      </c>
      <c r="H92" s="118">
        <v>2359.158315125263</v>
      </c>
      <c r="I92" s="118">
        <v>-1907.2349986226066</v>
      </c>
      <c r="J92" s="118">
        <v>1580.7157045242295</v>
      </c>
      <c r="K92" s="118">
        <v>1045.8345062473563</v>
      </c>
      <c r="L92" s="118">
        <v>-1033.7586029616764</v>
      </c>
      <c r="M92" s="118">
        <v>3170.0510146770407</v>
      </c>
      <c r="N92" s="118">
        <v>-2625.1876175419693</v>
      </c>
      <c r="O92" s="118">
        <v>296.14887292858015</v>
      </c>
      <c r="P92" s="118">
        <v>5195.3144340791041</v>
      </c>
      <c r="Q92" s="118">
        <v>-8260.0134383479199</v>
      </c>
      <c r="R92" s="118">
        <v>-1466.5186220224787</v>
      </c>
      <c r="S92" s="118">
        <v>1234.4994411723296</v>
      </c>
      <c r="T92" s="118">
        <v>3252.3753694624388</v>
      </c>
      <c r="U92" s="118">
        <v>-1084.0110984471301</v>
      </c>
      <c r="V92" s="118">
        <v>771.0126508575612</v>
      </c>
      <c r="W92" s="118">
        <v>-338.03950370297059</v>
      </c>
      <c r="X92" s="118">
        <v>1779.6163464512322</v>
      </c>
      <c r="Y92" s="118">
        <v>1865.9521752437984</v>
      </c>
      <c r="Z92" s="118">
        <v>879.3210280327396</v>
      </c>
      <c r="AA92" s="118">
        <v>3577.5202426011047</v>
      </c>
      <c r="AB92" s="118">
        <v>579.63691253332843</v>
      </c>
    </row>
    <row r="93" spans="1:28" x14ac:dyDescent="0.25">
      <c r="A93" s="93">
        <v>90</v>
      </c>
      <c r="D93" s="114" t="s">
        <v>30</v>
      </c>
      <c r="E93" s="114" t="s">
        <v>31</v>
      </c>
      <c r="F93" s="118">
        <v>-162.8179576967832</v>
      </c>
      <c r="G93" s="118">
        <v>1824.7290863981623</v>
      </c>
      <c r="H93" s="118">
        <v>1595.861201171027</v>
      </c>
      <c r="I93" s="118">
        <v>5725.5313846662066</v>
      </c>
      <c r="J93" s="118">
        <v>-1162.2617211495676</v>
      </c>
      <c r="K93" s="118">
        <v>3779.940977062256</v>
      </c>
      <c r="L93" s="118">
        <v>2301.0713171042817</v>
      </c>
      <c r="M93" s="118">
        <v>2398.4306629511775</v>
      </c>
      <c r="N93" s="118">
        <v>-8349.8187697832363</v>
      </c>
      <c r="O93" s="118">
        <v>1130.2194285232054</v>
      </c>
      <c r="P93" s="118">
        <v>1997.5660613668056</v>
      </c>
      <c r="Q93" s="118">
        <v>6676.6971612395755</v>
      </c>
      <c r="R93" s="118">
        <v>1537.5868573198136</v>
      </c>
      <c r="S93" s="118">
        <v>4990.3303465997324</v>
      </c>
      <c r="T93" s="118">
        <v>-1198.3241675478216</v>
      </c>
      <c r="U93" s="118">
        <v>5768.1038202736272</v>
      </c>
      <c r="V93" s="118">
        <v>3017.7248207662892</v>
      </c>
      <c r="W93" s="118">
        <v>3291.0513418413484</v>
      </c>
      <c r="X93" s="118">
        <v>3218.1276972284313</v>
      </c>
      <c r="Y93" s="118">
        <v>3581.3475298690469</v>
      </c>
      <c r="Z93" s="118">
        <v>-1865.3237140849137</v>
      </c>
      <c r="AA93" s="118">
        <v>1823.6993575854635</v>
      </c>
      <c r="AB93" s="118">
        <v>2322.6352813904991</v>
      </c>
    </row>
    <row r="94" spans="1:28" ht="15.75" x14ac:dyDescent="0.25">
      <c r="A94" s="93">
        <v>91</v>
      </c>
      <c r="D94" s="112" t="s">
        <v>19</v>
      </c>
      <c r="E94" s="112" t="s">
        <v>22</v>
      </c>
      <c r="F94" s="113">
        <v>169.31450444885195</v>
      </c>
      <c r="G94" s="113">
        <v>46.571718119464549</v>
      </c>
      <c r="H94" s="113">
        <v>-927.85020734848626</v>
      </c>
      <c r="I94" s="113">
        <v>-261.11871381197636</v>
      </c>
      <c r="J94" s="113">
        <v>50.969652361838463</v>
      </c>
      <c r="K94" s="113">
        <v>44.723396915794503</v>
      </c>
      <c r="L94" s="113">
        <v>-18.512167411065331</v>
      </c>
      <c r="M94" s="113">
        <v>102.49660487104298</v>
      </c>
      <c r="N94" s="113">
        <v>267.86072482367729</v>
      </c>
      <c r="O94" s="113">
        <v>187.51898646052732</v>
      </c>
      <c r="P94" s="113">
        <v>1112.0060742871835</v>
      </c>
      <c r="Q94" s="113">
        <v>-282.72319655850112</v>
      </c>
      <c r="R94" s="113">
        <v>-26.898784944789494</v>
      </c>
      <c r="S94" s="113">
        <v>-456.49173637555003</v>
      </c>
      <c r="T94" s="113">
        <v>-58.991358507219672</v>
      </c>
      <c r="U94" s="113">
        <v>517.25655862532471</v>
      </c>
      <c r="V94" s="113">
        <v>-431.67020354665084</v>
      </c>
      <c r="W94" s="113">
        <v>11.652930841712696</v>
      </c>
      <c r="X94" s="113">
        <v>139.03131870256618</v>
      </c>
      <c r="Y94" s="113">
        <v>128.86553445287231</v>
      </c>
      <c r="Z94" s="113">
        <v>-7.3426437425309015</v>
      </c>
      <c r="AA94" s="113">
        <v>70.381511183868241</v>
      </c>
      <c r="AB94" s="113">
        <v>316.11816871930404</v>
      </c>
    </row>
    <row r="95" spans="1:28" ht="9" customHeight="1" x14ac:dyDescent="0.25">
      <c r="A95" s="93">
        <v>92</v>
      </c>
      <c r="D95" s="119"/>
      <c r="E95" s="119"/>
      <c r="F95" s="120">
        <v>0</v>
      </c>
      <c r="G95" s="120">
        <v>0</v>
      </c>
      <c r="H95" s="120">
        <v>0</v>
      </c>
      <c r="I95" s="120">
        <v>0</v>
      </c>
      <c r="J95" s="120">
        <v>0</v>
      </c>
      <c r="K95" s="120">
        <v>0</v>
      </c>
      <c r="L95" s="120">
        <v>0</v>
      </c>
      <c r="M95" s="120">
        <v>0</v>
      </c>
      <c r="N95" s="120">
        <v>0</v>
      </c>
      <c r="O95" s="120">
        <v>0</v>
      </c>
      <c r="P95" s="120">
        <v>0</v>
      </c>
      <c r="Q95" s="120">
        <v>0</v>
      </c>
      <c r="R95" s="120">
        <v>0</v>
      </c>
      <c r="S95" s="120">
        <v>0</v>
      </c>
      <c r="T95" s="120">
        <v>0</v>
      </c>
      <c r="U95" s="120">
        <v>0</v>
      </c>
      <c r="V95" s="120">
        <v>0</v>
      </c>
      <c r="W95" s="120">
        <v>0</v>
      </c>
      <c r="X95" s="120">
        <v>0</v>
      </c>
      <c r="Y95" s="120">
        <v>0</v>
      </c>
      <c r="Z95" s="120">
        <v>0</v>
      </c>
      <c r="AA95" s="120">
        <v>0</v>
      </c>
      <c r="AB95" s="120">
        <v>0</v>
      </c>
    </row>
    <row r="96" spans="1:28" ht="26.1" customHeight="1" x14ac:dyDescent="0.3">
      <c r="A96" s="93">
        <v>93</v>
      </c>
      <c r="B96" s="108"/>
      <c r="C96" s="110" t="s">
        <v>11</v>
      </c>
      <c r="D96" s="110"/>
      <c r="F96" s="111"/>
      <c r="G96" s="111"/>
      <c r="H96" s="111"/>
      <c r="I96" s="111"/>
      <c r="J96" s="111"/>
      <c r="K96" s="111"/>
      <c r="L96" s="111"/>
      <c r="M96" s="111"/>
      <c r="N96" s="111"/>
      <c r="O96" s="111"/>
      <c r="P96" s="111"/>
      <c r="Q96" s="111"/>
      <c r="R96" s="111"/>
      <c r="S96" s="111"/>
      <c r="T96" s="111"/>
      <c r="U96" s="111"/>
      <c r="V96" s="111"/>
      <c r="W96" s="111"/>
      <c r="X96" s="111"/>
      <c r="Y96" s="111"/>
      <c r="Z96" s="111"/>
      <c r="AA96" s="111"/>
      <c r="AB96" s="111"/>
    </row>
    <row r="97" spans="1:28" ht="18" customHeight="1" x14ac:dyDescent="0.25">
      <c r="A97" s="93">
        <v>94</v>
      </c>
      <c r="D97" s="112" t="s">
        <v>13</v>
      </c>
      <c r="E97" s="112" t="s">
        <v>35</v>
      </c>
      <c r="F97" s="113">
        <f>F98+F99+F103+F104</f>
        <v>-2029.5032404000001</v>
      </c>
      <c r="G97" s="113">
        <f t="shared" ref="G97:I97" si="82">G98+G99+G103+G104</f>
        <v>2094.3955575599898</v>
      </c>
      <c r="H97" s="113">
        <f t="shared" si="82"/>
        <v>-4.0453424899990811</v>
      </c>
      <c r="I97" s="113">
        <f t="shared" si="82"/>
        <v>919.48699931000306</v>
      </c>
      <c r="J97" s="113">
        <f>J98+J99+J103+J104</f>
        <v>-1004.2889804200099</v>
      </c>
      <c r="K97" s="113">
        <f t="shared" ref="K97" si="83">K98+K99+K103+K104</f>
        <v>-959.69603034999409</v>
      </c>
      <c r="L97" s="113">
        <f t="shared" ref="L97" si="84">L98+L99+L103+L104</f>
        <v>-834.93797497999799</v>
      </c>
      <c r="M97" s="113">
        <f t="shared" ref="M97" si="85">M98+M99+M103+M104</f>
        <v>119.44248135999798</v>
      </c>
      <c r="N97" s="113">
        <f>N98+N99+N103+N104</f>
        <v>-2445.2123029200002</v>
      </c>
      <c r="O97" s="113">
        <f t="shared" ref="O97" si="86">O98+O99+O103+O104</f>
        <v>447.78594376000001</v>
      </c>
      <c r="P97" s="113">
        <f t="shared" ref="P97" si="87">P98+P99+P103+P104</f>
        <v>-645.896004610001</v>
      </c>
      <c r="Q97" s="113">
        <f t="shared" ref="Q97" si="88">Q98+Q99+Q103+Q104</f>
        <v>5556.3413531200094</v>
      </c>
      <c r="R97" s="113">
        <f>R98+R99+R103+R104</f>
        <v>4982.7760620400004</v>
      </c>
      <c r="S97" s="113">
        <f t="shared" ref="S97" si="89">S98+S99+S103+S104</f>
        <v>192.435281109973</v>
      </c>
      <c r="T97" s="113">
        <f t="shared" ref="T97" si="90">T98+T99+T103+T104</f>
        <v>-4374.4278455700014</v>
      </c>
      <c r="U97" s="113">
        <f t="shared" ref="U97" si="91">U98+U99+U103+U104</f>
        <v>4003.9683104200003</v>
      </c>
      <c r="V97" s="113">
        <f>V98+V99+V103+V104</f>
        <v>-96.451862630008975</v>
      </c>
      <c r="W97" s="113">
        <f t="shared" ref="W97:X97" si="92">W98+W99+W103+W104</f>
        <v>-4282.5961963499994</v>
      </c>
      <c r="X97" s="113">
        <f t="shared" si="92"/>
        <v>2791.6878702900099</v>
      </c>
      <c r="Y97" s="113">
        <f t="shared" ref="Y97:Z97" si="93">Y98+Y99+Y103+Y104</f>
        <v>700.48817485000689</v>
      </c>
      <c r="Z97" s="113">
        <f t="shared" si="93"/>
        <v>-3004.8672562899997</v>
      </c>
      <c r="AA97" s="113">
        <f t="shared" ref="AA97:AB97" si="94">AA98+AA99+AA103+AA104</f>
        <v>-2039.5426363799995</v>
      </c>
      <c r="AB97" s="113">
        <f t="shared" si="94"/>
        <v>-924.0216521399999</v>
      </c>
    </row>
    <row r="98" spans="1:28" x14ac:dyDescent="0.25">
      <c r="A98" s="93">
        <v>95</v>
      </c>
      <c r="D98" s="114" t="s">
        <v>14</v>
      </c>
      <c r="E98" s="114" t="s">
        <v>23</v>
      </c>
      <c r="F98" s="118">
        <v>0</v>
      </c>
      <c r="G98" s="118">
        <v>0</v>
      </c>
      <c r="H98" s="118">
        <v>0</v>
      </c>
      <c r="I98" s="118">
        <v>0</v>
      </c>
      <c r="J98" s="118">
        <v>0</v>
      </c>
      <c r="K98" s="118">
        <v>0</v>
      </c>
      <c r="L98" s="118">
        <v>0</v>
      </c>
      <c r="M98" s="118">
        <v>0</v>
      </c>
      <c r="N98" s="118">
        <v>0</v>
      </c>
      <c r="O98" s="118">
        <v>0</v>
      </c>
      <c r="P98" s="118">
        <v>0</v>
      </c>
      <c r="Q98" s="118">
        <v>0</v>
      </c>
      <c r="R98" s="118">
        <v>0</v>
      </c>
      <c r="S98" s="118">
        <v>0</v>
      </c>
      <c r="T98" s="118">
        <v>0</v>
      </c>
      <c r="U98" s="118">
        <v>0</v>
      </c>
      <c r="V98" s="118">
        <v>0</v>
      </c>
      <c r="W98" s="118">
        <v>0</v>
      </c>
      <c r="X98" s="118">
        <v>0</v>
      </c>
      <c r="Y98" s="118">
        <v>0</v>
      </c>
      <c r="Z98" s="118">
        <v>0</v>
      </c>
      <c r="AA98" s="118">
        <v>0</v>
      </c>
      <c r="AB98" s="118">
        <v>0</v>
      </c>
    </row>
    <row r="99" spans="1:28" x14ac:dyDescent="0.25">
      <c r="A99" s="93">
        <v>96</v>
      </c>
      <c r="D99" s="114" t="s">
        <v>15</v>
      </c>
      <c r="E99" s="114" t="s">
        <v>0</v>
      </c>
      <c r="F99" s="116">
        <f>SUM(F100:F102)</f>
        <v>-2029.5032404000001</v>
      </c>
      <c r="G99" s="116">
        <f t="shared" ref="G99:I99" si="95">SUM(G100:G102)</f>
        <v>2094.3955575599898</v>
      </c>
      <c r="H99" s="116">
        <f t="shared" si="95"/>
        <v>-4.0453424899990811</v>
      </c>
      <c r="I99" s="116">
        <f t="shared" si="95"/>
        <v>919.48699931000306</v>
      </c>
      <c r="J99" s="116">
        <f>SUM(J100:J102)</f>
        <v>-1004.2889804200099</v>
      </c>
      <c r="K99" s="116">
        <f t="shared" ref="K99" si="96">SUM(K100:K102)</f>
        <v>-959.69603034999409</v>
      </c>
      <c r="L99" s="116">
        <f t="shared" ref="L99" si="97">SUM(L100:L102)</f>
        <v>-834.93797497999799</v>
      </c>
      <c r="M99" s="116">
        <f t="shared" ref="M99" si="98">SUM(M100:M102)</f>
        <v>119.44248135999798</v>
      </c>
      <c r="N99" s="116">
        <f>SUM(N100:N102)</f>
        <v>-2445.2123029200002</v>
      </c>
      <c r="O99" s="116">
        <f t="shared" ref="O99" si="99">SUM(O100:O102)</f>
        <v>447.78594376000001</v>
      </c>
      <c r="P99" s="116">
        <f t="shared" ref="P99" si="100">SUM(P100:P102)</f>
        <v>-645.896004610001</v>
      </c>
      <c r="Q99" s="116">
        <f t="shared" ref="Q99" si="101">SUM(Q100:Q102)</f>
        <v>5556.3413531200094</v>
      </c>
      <c r="R99" s="116">
        <f>SUM(R100:R102)</f>
        <v>4982.7760620400004</v>
      </c>
      <c r="S99" s="116">
        <f t="shared" ref="S99" si="102">SUM(S100:S102)</f>
        <v>106.130228109973</v>
      </c>
      <c r="T99" s="116">
        <f t="shared" ref="T99" si="103">SUM(T100:T102)</f>
        <v>-4545.5537795700011</v>
      </c>
      <c r="U99" s="116">
        <f t="shared" ref="U99" si="104">SUM(U100:U102)</f>
        <v>4008.6366094200002</v>
      </c>
      <c r="V99" s="116">
        <f>SUM(V100:V102)</f>
        <v>-256.39166363000896</v>
      </c>
      <c r="W99" s="116">
        <f t="shared" ref="W99:X99" si="105">SUM(W100:W102)</f>
        <v>-4390.1202053499992</v>
      </c>
      <c r="X99" s="116">
        <f t="shared" si="105"/>
        <v>2598.41358829001</v>
      </c>
      <c r="Y99" s="116">
        <f t="shared" ref="Y99:Z99" si="106">SUM(Y100:Y102)</f>
        <v>635.70470785000691</v>
      </c>
      <c r="Z99" s="116">
        <f t="shared" si="106"/>
        <v>-2944.1711232899997</v>
      </c>
      <c r="AA99" s="116">
        <f t="shared" ref="AA99:AB99" si="107">SUM(AA100:AA102)</f>
        <v>-2192.4617043799994</v>
      </c>
      <c r="AB99" s="116">
        <f t="shared" si="107"/>
        <v>-1282.3375341399999</v>
      </c>
    </row>
    <row r="100" spans="1:28" x14ac:dyDescent="0.25">
      <c r="A100" s="93">
        <v>97</v>
      </c>
      <c r="D100" s="117" t="s">
        <v>26</v>
      </c>
      <c r="E100" s="117" t="s">
        <v>25</v>
      </c>
      <c r="F100" s="118">
        <v>-2029.5032404000001</v>
      </c>
      <c r="G100" s="118">
        <v>2094.3955575599898</v>
      </c>
      <c r="H100" s="118">
        <v>-4.0453424899990811</v>
      </c>
      <c r="I100" s="118">
        <v>919.48699931000306</v>
      </c>
      <c r="J100" s="118">
        <v>-1004.2889804200099</v>
      </c>
      <c r="K100" s="118">
        <v>-959.69603034999409</v>
      </c>
      <c r="L100" s="118">
        <v>-834.93797497999799</v>
      </c>
      <c r="M100" s="118">
        <v>119.44248135999798</v>
      </c>
      <c r="N100" s="118">
        <v>-2445.2123029200002</v>
      </c>
      <c r="O100" s="118">
        <v>447.78594376000001</v>
      </c>
      <c r="P100" s="118">
        <v>-645.896004610001</v>
      </c>
      <c r="Q100" s="118">
        <v>5556.3413531200094</v>
      </c>
      <c r="R100" s="118">
        <v>4982.7760620400004</v>
      </c>
      <c r="S100" s="118">
        <v>106.130228109973</v>
      </c>
      <c r="T100" s="118">
        <v>-4545.5537795700011</v>
      </c>
      <c r="U100" s="118">
        <v>4008.6366094200002</v>
      </c>
      <c r="V100" s="118">
        <v>-256.39166363000896</v>
      </c>
      <c r="W100" s="118">
        <v>-4390.1202053499992</v>
      </c>
      <c r="X100" s="118">
        <v>2598.41358829001</v>
      </c>
      <c r="Y100" s="118">
        <v>635.70470785000691</v>
      </c>
      <c r="Z100" s="118">
        <v>-2944.1711232899997</v>
      </c>
      <c r="AA100" s="118">
        <v>-2192.4617043799994</v>
      </c>
      <c r="AB100" s="118">
        <v>-1282.3375341399999</v>
      </c>
    </row>
    <row r="101" spans="1:28" x14ac:dyDescent="0.25">
      <c r="A101" s="93">
        <v>98</v>
      </c>
      <c r="D101" s="117" t="s">
        <v>16</v>
      </c>
      <c r="E101" s="117" t="s">
        <v>27</v>
      </c>
      <c r="F101" s="118">
        <v>0</v>
      </c>
      <c r="G101" s="118">
        <v>0</v>
      </c>
      <c r="H101" s="118">
        <v>0</v>
      </c>
      <c r="I101" s="118">
        <v>0</v>
      </c>
      <c r="J101" s="118">
        <v>0</v>
      </c>
      <c r="K101" s="118">
        <v>0</v>
      </c>
      <c r="L101" s="118">
        <v>0</v>
      </c>
      <c r="M101" s="118">
        <v>0</v>
      </c>
      <c r="N101" s="118">
        <v>0</v>
      </c>
      <c r="O101" s="118">
        <v>0</v>
      </c>
      <c r="P101" s="118">
        <v>0</v>
      </c>
      <c r="Q101" s="118">
        <v>0</v>
      </c>
      <c r="R101" s="118">
        <v>0</v>
      </c>
      <c r="S101" s="118">
        <v>0</v>
      </c>
      <c r="T101" s="118">
        <v>0</v>
      </c>
      <c r="U101" s="118">
        <v>0</v>
      </c>
      <c r="V101" s="118">
        <v>0</v>
      </c>
      <c r="W101" s="118">
        <v>0</v>
      </c>
      <c r="X101" s="118">
        <v>0</v>
      </c>
      <c r="Y101" s="118">
        <v>0</v>
      </c>
      <c r="Z101" s="118">
        <v>0</v>
      </c>
      <c r="AA101" s="118">
        <v>0</v>
      </c>
      <c r="AB101" s="118">
        <v>0</v>
      </c>
    </row>
    <row r="102" spans="1:28" x14ac:dyDescent="0.25">
      <c r="A102" s="93">
        <v>99</v>
      </c>
      <c r="D102" s="117" t="s">
        <v>17</v>
      </c>
      <c r="E102" s="117" t="s">
        <v>28</v>
      </c>
      <c r="F102" s="118">
        <v>0</v>
      </c>
      <c r="G102" s="118">
        <v>0</v>
      </c>
      <c r="H102" s="118">
        <v>0</v>
      </c>
      <c r="I102" s="118">
        <v>0</v>
      </c>
      <c r="J102" s="118">
        <v>0</v>
      </c>
      <c r="K102" s="118">
        <v>0</v>
      </c>
      <c r="L102" s="118">
        <v>0</v>
      </c>
      <c r="M102" s="118">
        <v>0</v>
      </c>
      <c r="N102" s="118">
        <v>0</v>
      </c>
      <c r="O102" s="118">
        <v>0</v>
      </c>
      <c r="P102" s="118">
        <v>0</v>
      </c>
      <c r="Q102" s="118">
        <v>0</v>
      </c>
      <c r="R102" s="118">
        <v>0</v>
      </c>
      <c r="S102" s="118">
        <v>0</v>
      </c>
      <c r="T102" s="118">
        <v>0</v>
      </c>
      <c r="U102" s="118">
        <v>0</v>
      </c>
      <c r="V102" s="118">
        <v>0</v>
      </c>
      <c r="W102" s="118">
        <v>0</v>
      </c>
      <c r="X102" s="118">
        <v>0</v>
      </c>
      <c r="Y102" s="118">
        <v>0</v>
      </c>
      <c r="Z102" s="118">
        <v>0</v>
      </c>
      <c r="AA102" s="118">
        <v>0</v>
      </c>
      <c r="AB102" s="118">
        <v>0</v>
      </c>
    </row>
    <row r="103" spans="1:28" x14ac:dyDescent="0.25">
      <c r="A103" s="93">
        <v>100</v>
      </c>
      <c r="D103" s="114" t="s">
        <v>1</v>
      </c>
      <c r="E103" s="114" t="s">
        <v>29</v>
      </c>
      <c r="F103" s="116">
        <v>0</v>
      </c>
      <c r="G103" s="116">
        <v>0</v>
      </c>
      <c r="H103" s="116">
        <v>0</v>
      </c>
      <c r="I103" s="116">
        <v>0</v>
      </c>
      <c r="J103" s="116">
        <v>0</v>
      </c>
      <c r="K103" s="116">
        <v>0</v>
      </c>
      <c r="L103" s="116">
        <v>0</v>
      </c>
      <c r="M103" s="116">
        <v>0</v>
      </c>
      <c r="N103" s="116">
        <v>0</v>
      </c>
      <c r="O103" s="116">
        <v>0</v>
      </c>
      <c r="P103" s="116">
        <v>0</v>
      </c>
      <c r="Q103" s="116">
        <v>0</v>
      </c>
      <c r="R103" s="116">
        <v>0</v>
      </c>
      <c r="S103" s="116">
        <v>0</v>
      </c>
      <c r="T103" s="116">
        <v>0</v>
      </c>
      <c r="U103" s="116">
        <v>0</v>
      </c>
      <c r="V103" s="116">
        <v>0</v>
      </c>
      <c r="W103" s="116">
        <v>0</v>
      </c>
      <c r="X103" s="116">
        <v>0</v>
      </c>
      <c r="Y103" s="116">
        <v>0</v>
      </c>
      <c r="Z103" s="116">
        <v>0</v>
      </c>
      <c r="AA103" s="116">
        <v>0</v>
      </c>
      <c r="AB103" s="116">
        <v>0</v>
      </c>
    </row>
    <row r="104" spans="1:28" x14ac:dyDescent="0.25">
      <c r="A104" s="93">
        <v>101</v>
      </c>
      <c r="D104" s="114" t="s">
        <v>30</v>
      </c>
      <c r="E104" s="114" t="s">
        <v>31</v>
      </c>
      <c r="F104" s="116">
        <v>0</v>
      </c>
      <c r="G104" s="116">
        <v>0</v>
      </c>
      <c r="H104" s="116">
        <v>0</v>
      </c>
      <c r="I104" s="116">
        <v>0</v>
      </c>
      <c r="J104" s="116">
        <v>0</v>
      </c>
      <c r="K104" s="116">
        <v>0</v>
      </c>
      <c r="L104" s="116">
        <v>0</v>
      </c>
      <c r="M104" s="116">
        <v>0</v>
      </c>
      <c r="N104" s="116">
        <v>0</v>
      </c>
      <c r="O104" s="116">
        <v>0</v>
      </c>
      <c r="P104" s="116">
        <v>0</v>
      </c>
      <c r="Q104" s="116">
        <v>0</v>
      </c>
      <c r="R104" s="116">
        <v>0</v>
      </c>
      <c r="S104" s="116">
        <v>86.305053000000001</v>
      </c>
      <c r="T104" s="116">
        <v>171.125934</v>
      </c>
      <c r="U104" s="116">
        <v>-4.6682990000000002</v>
      </c>
      <c r="V104" s="116">
        <v>159.93980099999999</v>
      </c>
      <c r="W104" s="116">
        <v>107.52400900000001</v>
      </c>
      <c r="X104" s="116">
        <v>193.274282</v>
      </c>
      <c r="Y104" s="116">
        <v>64.783467000000002</v>
      </c>
      <c r="Z104" s="116">
        <v>-60.696133000000003</v>
      </c>
      <c r="AA104" s="116">
        <v>152.91906800000001</v>
      </c>
      <c r="AB104" s="116">
        <v>358.31588199999999</v>
      </c>
    </row>
    <row r="105" spans="1:28" ht="15.75" x14ac:dyDescent="0.25">
      <c r="A105" s="93">
        <v>102</v>
      </c>
      <c r="D105" s="112" t="s">
        <v>19</v>
      </c>
      <c r="E105" s="112" t="s">
        <v>22</v>
      </c>
      <c r="F105" s="113">
        <v>2.0349829319809416</v>
      </c>
      <c r="G105" s="113">
        <v>-2.0711410102762917</v>
      </c>
      <c r="H105" s="113">
        <v>2.0962630421049031</v>
      </c>
      <c r="I105" s="113">
        <v>-2.1599119487169367</v>
      </c>
      <c r="J105" s="113">
        <v>2.1248853536658467</v>
      </c>
      <c r="K105" s="113">
        <v>-2.1848279072607739</v>
      </c>
      <c r="L105" s="113">
        <v>2.1626839948099152</v>
      </c>
      <c r="M105" s="113">
        <v>299.69967518884886</v>
      </c>
      <c r="N105" s="113">
        <v>9.6967782661465396</v>
      </c>
      <c r="O105" s="113">
        <v>195.41030881782692</v>
      </c>
      <c r="P105" s="113">
        <v>9.8303001035186828</v>
      </c>
      <c r="Q105" s="113">
        <v>-3.5815515500164627</v>
      </c>
      <c r="R105" s="113">
        <v>-7.1049734186744837</v>
      </c>
      <c r="S105" s="113">
        <v>-8.5714191378586762</v>
      </c>
      <c r="T105" s="113">
        <v>-34.678245419192088</v>
      </c>
      <c r="U105" s="113">
        <v>1.1739498830785267</v>
      </c>
      <c r="V105" s="113">
        <v>2.1426174580094974</v>
      </c>
      <c r="W105" s="113">
        <v>-6.7379418618882188</v>
      </c>
      <c r="X105" s="113">
        <v>5.6751958128278099</v>
      </c>
      <c r="Y105" s="113">
        <v>473.62284046900976</v>
      </c>
      <c r="Z105" s="113">
        <v>12.789243689389213</v>
      </c>
      <c r="AA105" s="113">
        <v>10.390104608516335</v>
      </c>
      <c r="AB105" s="113">
        <v>27.951474908871003</v>
      </c>
    </row>
    <row r="106" spans="1:28" ht="17.25" customHeight="1" x14ac:dyDescent="0.25">
      <c r="A106" s="93">
        <v>103</v>
      </c>
      <c r="D106" s="119"/>
      <c r="E106" s="119"/>
      <c r="F106" s="120">
        <v>0</v>
      </c>
      <c r="G106" s="120">
        <v>0</v>
      </c>
      <c r="H106" s="120">
        <v>0</v>
      </c>
      <c r="I106" s="120">
        <v>0</v>
      </c>
      <c r="J106" s="120">
        <v>0</v>
      </c>
      <c r="K106" s="120">
        <v>0</v>
      </c>
      <c r="L106" s="120">
        <v>0</v>
      </c>
      <c r="M106" s="120">
        <v>0</v>
      </c>
      <c r="N106" s="120">
        <v>0</v>
      </c>
      <c r="O106" s="120">
        <v>0</v>
      </c>
      <c r="P106" s="120">
        <v>0</v>
      </c>
      <c r="Q106" s="120">
        <v>0</v>
      </c>
      <c r="R106" s="120">
        <v>0</v>
      </c>
      <c r="S106" s="120">
        <v>0</v>
      </c>
      <c r="T106" s="120">
        <v>0</v>
      </c>
      <c r="U106" s="120">
        <v>0</v>
      </c>
      <c r="V106" s="120">
        <v>0</v>
      </c>
      <c r="W106" s="120">
        <v>0</v>
      </c>
      <c r="X106" s="120">
        <v>0</v>
      </c>
      <c r="Y106" s="120">
        <v>0</v>
      </c>
      <c r="Z106" s="120">
        <v>0</v>
      </c>
      <c r="AA106" s="120">
        <v>0</v>
      </c>
      <c r="AB106" s="120">
        <v>0</v>
      </c>
    </row>
    <row r="107" spans="1:28" ht="26.1" customHeight="1" x14ac:dyDescent="0.3">
      <c r="A107" s="93">
        <v>104</v>
      </c>
      <c r="B107" s="108"/>
      <c r="C107" s="110" t="s">
        <v>6</v>
      </c>
      <c r="D107" s="110"/>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row>
    <row r="108" spans="1:28" ht="18" customHeight="1" x14ac:dyDescent="0.25">
      <c r="A108" s="93">
        <v>105</v>
      </c>
      <c r="D108" s="112" t="s">
        <v>13</v>
      </c>
      <c r="E108" s="112" t="s">
        <v>35</v>
      </c>
      <c r="F108" s="113">
        <f>F109+F110+F114+F115</f>
        <v>-45.498645221493177</v>
      </c>
      <c r="G108" s="113">
        <f t="shared" ref="G108:I108" si="108">G109+G110+G114+G115</f>
        <v>161.82537983084509</v>
      </c>
      <c r="H108" s="113">
        <f t="shared" si="108"/>
        <v>114.30895001477646</v>
      </c>
      <c r="I108" s="113">
        <f t="shared" si="108"/>
        <v>102.10183542438347</v>
      </c>
      <c r="J108" s="113">
        <f>J109+J110+J114+J115</f>
        <v>315.59581499890032</v>
      </c>
      <c r="K108" s="113">
        <f t="shared" ref="K108" si="109">K109+K110+K114+K115</f>
        <v>564.4849081988649</v>
      </c>
      <c r="L108" s="113">
        <f t="shared" ref="L108" si="110">L109+L110+L114+L115</f>
        <v>491.53970988053112</v>
      </c>
      <c r="M108" s="113">
        <f t="shared" ref="M108" si="111">M109+M110+M114+M115</f>
        <v>295.92291893554329</v>
      </c>
      <c r="N108" s="113">
        <f>N109+N110+N114+N115</f>
        <v>4161.0449694978743</v>
      </c>
      <c r="O108" s="113">
        <f t="shared" ref="O108" si="112">O109+O110+O114+O115</f>
        <v>-1276.559415099061</v>
      </c>
      <c r="P108" s="113">
        <f t="shared" ref="P108" si="113">P109+P110+P114+P115</f>
        <v>621.4354567780108</v>
      </c>
      <c r="Q108" s="113">
        <f t="shared" ref="Q108" si="114">Q109+Q110+Q114+Q115</f>
        <v>-2783.7607072939672</v>
      </c>
      <c r="R108" s="113">
        <f>R109+R110+R114+R115</f>
        <v>257.77839970641685</v>
      </c>
      <c r="S108" s="113">
        <f t="shared" ref="S108" si="115">S109+S110+S114+S115</f>
        <v>11.342228055888764</v>
      </c>
      <c r="T108" s="113">
        <f t="shared" ref="T108" si="116">T109+T110+T114+T115</f>
        <v>152.42148659355433</v>
      </c>
      <c r="U108" s="113">
        <f t="shared" ref="U108" si="117">U109+U110+U114+U115</f>
        <v>-97.397151106432716</v>
      </c>
      <c r="V108" s="113">
        <f>V109+V110+V114+V115</f>
        <v>-51.184950983026177</v>
      </c>
      <c r="W108" s="113">
        <f t="shared" ref="W108:X108" si="118">W109+W110+W114+W115</f>
        <v>-77.110227648573215</v>
      </c>
      <c r="X108" s="113">
        <f t="shared" si="118"/>
        <v>246.81204574611667</v>
      </c>
      <c r="Y108" s="113">
        <f t="shared" ref="Y108:Z108" si="119">Y109+Y110+Y114+Y115</f>
        <v>-37.095576801243425</v>
      </c>
      <c r="Z108" s="113">
        <f t="shared" si="119"/>
        <v>12.247550801801339</v>
      </c>
      <c r="AA108" s="113">
        <f t="shared" ref="AA108:AB108" si="120">AA109+AA110+AA114+AA115</f>
        <v>-388.7704311085692</v>
      </c>
      <c r="AB108" s="113">
        <f t="shared" si="120"/>
        <v>932.31054110473542</v>
      </c>
    </row>
    <row r="109" spans="1:28" x14ac:dyDescent="0.25">
      <c r="A109" s="93">
        <v>106</v>
      </c>
      <c r="D109" s="114" t="s">
        <v>14</v>
      </c>
      <c r="E109" s="114" t="s">
        <v>23</v>
      </c>
      <c r="F109" s="116">
        <v>1.164582000000002</v>
      </c>
      <c r="G109" s="116">
        <v>0.59228199999999909</v>
      </c>
      <c r="H109" s="116">
        <v>-0.3714220000000017</v>
      </c>
      <c r="I109" s="116">
        <v>-2.8542309999999986</v>
      </c>
      <c r="J109" s="116">
        <v>0.60765500000000117</v>
      </c>
      <c r="K109" s="116">
        <v>1.2331789999999998</v>
      </c>
      <c r="L109" s="116">
        <v>-0.84804200000000041</v>
      </c>
      <c r="M109" s="116">
        <v>-1.1745000000002115E-2</v>
      </c>
      <c r="N109" s="116">
        <v>-0.1811600000000011</v>
      </c>
      <c r="O109" s="116">
        <v>1.0987570000000035</v>
      </c>
      <c r="P109" s="116">
        <v>0.73308699999999849</v>
      </c>
      <c r="Q109" s="116">
        <v>0.47401999999999855</v>
      </c>
      <c r="R109" s="116">
        <v>2.4627960000000018</v>
      </c>
      <c r="S109" s="116">
        <v>2.8674509999999991</v>
      </c>
      <c r="T109" s="116">
        <v>-0.69601399999999725</v>
      </c>
      <c r="U109" s="116">
        <v>0.38025599999999748</v>
      </c>
      <c r="V109" s="116">
        <v>-1.5030460000000003</v>
      </c>
      <c r="W109" s="116">
        <v>0.91808100000000525</v>
      </c>
      <c r="X109" s="116">
        <v>-2.8923390000000069</v>
      </c>
      <c r="Y109" s="116">
        <v>-1.023934999999998</v>
      </c>
      <c r="Z109" s="116">
        <v>0.57456499999999888</v>
      </c>
      <c r="AA109" s="116">
        <v>1.6694430000000038</v>
      </c>
      <c r="AB109" s="116">
        <v>-0.82535700000000034</v>
      </c>
    </row>
    <row r="110" spans="1:28" x14ac:dyDescent="0.25">
      <c r="A110" s="93">
        <v>107</v>
      </c>
      <c r="D110" s="114" t="s">
        <v>15</v>
      </c>
      <c r="E110" s="114" t="s">
        <v>0</v>
      </c>
      <c r="F110" s="116">
        <f>SUM(F111:F113)</f>
        <v>-5.3827839999999849</v>
      </c>
      <c r="G110" s="116">
        <f t="shared" ref="G110:I110" si="121">SUM(G111:G113)</f>
        <v>-5.2300080000000069</v>
      </c>
      <c r="H110" s="116">
        <f t="shared" si="121"/>
        <v>-1.3634500000000003</v>
      </c>
      <c r="I110" s="116">
        <f t="shared" si="121"/>
        <v>-7.7529609999999956</v>
      </c>
      <c r="J110" s="116">
        <f>SUM(J111:J113)</f>
        <v>-6.4167500000000057</v>
      </c>
      <c r="K110" s="116">
        <f t="shared" ref="K110" si="122">SUM(K111:K113)</f>
        <v>0.3413560000000011</v>
      </c>
      <c r="L110" s="116">
        <f t="shared" ref="L110" si="123">SUM(L111:L113)</f>
        <v>13.668343000000002</v>
      </c>
      <c r="M110" s="116">
        <f t="shared" ref="M110" si="124">SUM(M111:M113)</f>
        <v>-4.5158970000000096</v>
      </c>
      <c r="N110" s="116">
        <f>SUM(N111:N113)</f>
        <v>3896.54971286</v>
      </c>
      <c r="O110" s="116">
        <f t="shared" ref="O110" si="125">SUM(O111:O113)</f>
        <v>-1322.6399632300001</v>
      </c>
      <c r="P110" s="116">
        <f t="shared" ref="P110" si="126">SUM(P111:P113)</f>
        <v>199.17239201999496</v>
      </c>
      <c r="Q110" s="116">
        <f t="shared" ref="Q110" si="127">SUM(Q111:Q113)</f>
        <v>-2782.5525086500002</v>
      </c>
      <c r="R110" s="116">
        <f>SUM(R111:R113)</f>
        <v>-2.8693569999999986</v>
      </c>
      <c r="S110" s="116">
        <f t="shared" ref="S110" si="128">SUM(S111:S113)</f>
        <v>1.5471979999999976</v>
      </c>
      <c r="T110" s="116">
        <f t="shared" ref="T110" si="129">SUM(T111:T113)</f>
        <v>7.3772310000000054</v>
      </c>
      <c r="U110" s="116">
        <f t="shared" ref="U110" si="130">SUM(U111:U113)</f>
        <v>-10.911304000000001</v>
      </c>
      <c r="V110" s="116">
        <f>SUM(V111:V113)</f>
        <v>-7.1528470000000004</v>
      </c>
      <c r="W110" s="116">
        <f t="shared" ref="W110:X110" si="131">SUM(W111:W113)</f>
        <v>1.8088740000000019</v>
      </c>
      <c r="X110" s="116">
        <f t="shared" si="131"/>
        <v>175.34287799999998</v>
      </c>
      <c r="Y110" s="116">
        <f t="shared" ref="Y110:Z110" si="132">SUM(Y111:Y113)</f>
        <v>-27.649145000000001</v>
      </c>
      <c r="Z110" s="116">
        <f t="shared" si="132"/>
        <v>-151.653175</v>
      </c>
      <c r="AA110" s="116">
        <f t="shared" ref="AA110:AB110" si="133">SUM(AA111:AA113)</f>
        <v>3.5916910000000022</v>
      </c>
      <c r="AB110" s="116">
        <f t="shared" si="133"/>
        <v>813.57720199999994</v>
      </c>
    </row>
    <row r="111" spans="1:28" x14ac:dyDescent="0.25">
      <c r="A111" s="93">
        <v>108</v>
      </c>
      <c r="D111" s="117" t="s">
        <v>26</v>
      </c>
      <c r="E111" s="117" t="s">
        <v>25</v>
      </c>
      <c r="F111" s="118">
        <v>0</v>
      </c>
      <c r="G111" s="118">
        <v>0</v>
      </c>
      <c r="H111" s="118">
        <v>0</v>
      </c>
      <c r="I111" s="118">
        <v>0</v>
      </c>
      <c r="J111" s="118">
        <v>0</v>
      </c>
      <c r="K111" s="118">
        <v>0</v>
      </c>
      <c r="L111" s="118">
        <v>0</v>
      </c>
      <c r="M111" s="118">
        <v>0</v>
      </c>
      <c r="N111" s="118">
        <v>3897.8856348600002</v>
      </c>
      <c r="O111" s="118">
        <v>-1321.65999523</v>
      </c>
      <c r="P111" s="118">
        <v>201.46255301999497</v>
      </c>
      <c r="Q111" s="118">
        <v>-2777.68819265</v>
      </c>
      <c r="R111" s="118">
        <v>0</v>
      </c>
      <c r="S111" s="118">
        <v>0</v>
      </c>
      <c r="T111" s="118">
        <v>0</v>
      </c>
      <c r="U111" s="118">
        <v>0</v>
      </c>
      <c r="V111" s="118">
        <v>0</v>
      </c>
      <c r="W111" s="118">
        <v>0</v>
      </c>
      <c r="X111" s="118">
        <v>180.13621699999999</v>
      </c>
      <c r="Y111" s="118">
        <v>-29.914673000000001</v>
      </c>
      <c r="Z111" s="118">
        <v>-150.22154399999999</v>
      </c>
      <c r="AA111" s="118">
        <v>0</v>
      </c>
      <c r="AB111" s="118">
        <v>800.95898299999999</v>
      </c>
    </row>
    <row r="112" spans="1:28" x14ac:dyDescent="0.25">
      <c r="A112" s="93">
        <v>109</v>
      </c>
      <c r="D112" s="117" t="s">
        <v>16</v>
      </c>
      <c r="E112" s="117" t="s">
        <v>27</v>
      </c>
      <c r="F112" s="118">
        <v>-5.3827839999999849</v>
      </c>
      <c r="G112" s="118">
        <v>-5.2300080000000069</v>
      </c>
      <c r="H112" s="118">
        <v>-1.3634500000000003</v>
      </c>
      <c r="I112" s="118">
        <v>-7.7529609999999956</v>
      </c>
      <c r="J112" s="118">
        <v>-6.4167500000000057</v>
      </c>
      <c r="K112" s="118">
        <v>0.3413560000000011</v>
      </c>
      <c r="L112" s="118">
        <v>13.668343000000002</v>
      </c>
      <c r="M112" s="118">
        <v>-4.5158970000000096</v>
      </c>
      <c r="N112" s="118">
        <v>-1.3359219999999965</v>
      </c>
      <c r="O112" s="118">
        <v>-0.97996799999999595</v>
      </c>
      <c r="P112" s="118">
        <v>-2.2901609999999977</v>
      </c>
      <c r="Q112" s="118">
        <v>-4.864316000000005</v>
      </c>
      <c r="R112" s="118">
        <v>-2.8693569999999986</v>
      </c>
      <c r="S112" s="118">
        <v>1.5471979999999976</v>
      </c>
      <c r="T112" s="118">
        <v>7.3772310000000054</v>
      </c>
      <c r="U112" s="118">
        <v>-10.911304000000001</v>
      </c>
      <c r="V112" s="118">
        <v>-7.1528470000000004</v>
      </c>
      <c r="W112" s="118">
        <v>1.8088740000000019</v>
      </c>
      <c r="X112" s="118">
        <v>-4.7933390000000013</v>
      </c>
      <c r="Y112" s="118">
        <v>2.2655280000000007</v>
      </c>
      <c r="Z112" s="118">
        <v>-1.4316310000000025</v>
      </c>
      <c r="AA112" s="118">
        <v>3.5916910000000022</v>
      </c>
      <c r="AB112" s="118">
        <v>12.618219000000002</v>
      </c>
    </row>
    <row r="113" spans="1:28" x14ac:dyDescent="0.25">
      <c r="A113" s="93">
        <v>110</v>
      </c>
      <c r="D113" s="117" t="s">
        <v>17</v>
      </c>
      <c r="E113" s="117" t="s">
        <v>28</v>
      </c>
      <c r="F113" s="118">
        <v>0</v>
      </c>
      <c r="G113" s="118">
        <v>0</v>
      </c>
      <c r="H113" s="118">
        <v>0</v>
      </c>
      <c r="I113" s="118">
        <v>0</v>
      </c>
      <c r="J113" s="118">
        <v>0</v>
      </c>
      <c r="K113" s="118">
        <v>0</v>
      </c>
      <c r="L113" s="118">
        <v>0</v>
      </c>
      <c r="M113" s="118">
        <v>0</v>
      </c>
      <c r="N113" s="118">
        <v>0</v>
      </c>
      <c r="O113" s="118">
        <v>0</v>
      </c>
      <c r="P113" s="118">
        <v>0</v>
      </c>
      <c r="Q113" s="118">
        <v>0</v>
      </c>
      <c r="R113" s="118">
        <v>0</v>
      </c>
      <c r="S113" s="118">
        <v>0</v>
      </c>
      <c r="T113" s="118">
        <v>0</v>
      </c>
      <c r="U113" s="118">
        <v>0</v>
      </c>
      <c r="V113" s="118">
        <v>0</v>
      </c>
      <c r="W113" s="118">
        <v>0</v>
      </c>
      <c r="X113" s="118">
        <v>0</v>
      </c>
      <c r="Y113" s="118">
        <v>0</v>
      </c>
      <c r="Z113" s="118">
        <v>0</v>
      </c>
      <c r="AA113" s="118">
        <v>0</v>
      </c>
      <c r="AB113" s="118">
        <v>0</v>
      </c>
    </row>
    <row r="114" spans="1:28" x14ac:dyDescent="0.25">
      <c r="A114" s="93">
        <v>111</v>
      </c>
      <c r="D114" s="114" t="s">
        <v>1</v>
      </c>
      <c r="E114" s="114" t="s">
        <v>29</v>
      </c>
      <c r="F114" s="116">
        <v>-41.280443221493194</v>
      </c>
      <c r="G114" s="116">
        <v>166.46310583084511</v>
      </c>
      <c r="H114" s="116">
        <v>116.04382201477645</v>
      </c>
      <c r="I114" s="116">
        <v>107.16689242438346</v>
      </c>
      <c r="J114" s="116">
        <v>321.86123599890033</v>
      </c>
      <c r="K114" s="116">
        <v>563.23948519886494</v>
      </c>
      <c r="L114" s="116">
        <v>479.44908788053107</v>
      </c>
      <c r="M114" s="116">
        <v>300.8056179355433</v>
      </c>
      <c r="N114" s="116">
        <v>261.68789963787498</v>
      </c>
      <c r="O114" s="116">
        <v>44.796660130939188</v>
      </c>
      <c r="P114" s="116">
        <v>421.58684075801591</v>
      </c>
      <c r="Q114" s="116">
        <v>-1.288672643967435</v>
      </c>
      <c r="R114" s="116">
        <v>264.58016070641685</v>
      </c>
      <c r="S114" s="116">
        <v>6.927579055888768</v>
      </c>
      <c r="T114" s="116">
        <v>145.74026959355433</v>
      </c>
      <c r="U114" s="116">
        <v>-86.866103106432718</v>
      </c>
      <c r="V114" s="116">
        <v>-42.529057983026178</v>
      </c>
      <c r="W114" s="116">
        <v>-79.837182648573219</v>
      </c>
      <c r="X114" s="116">
        <v>74.361506746116675</v>
      </c>
      <c r="Y114" s="116">
        <v>-8.4224968012434243</v>
      </c>
      <c r="Z114" s="116">
        <v>163.32616080180134</v>
      </c>
      <c r="AA114" s="116">
        <v>-394.03156510856923</v>
      </c>
      <c r="AB114" s="116">
        <v>119.55869610473559</v>
      </c>
    </row>
    <row r="115" spans="1:28" x14ac:dyDescent="0.25">
      <c r="A115" s="93">
        <v>112</v>
      </c>
      <c r="D115" s="114" t="s">
        <v>30</v>
      </c>
      <c r="E115" s="114" t="s">
        <v>31</v>
      </c>
      <c r="F115" s="116">
        <v>0</v>
      </c>
      <c r="G115" s="116">
        <v>0</v>
      </c>
      <c r="H115" s="116">
        <v>0</v>
      </c>
      <c r="I115" s="116">
        <v>5.542135</v>
      </c>
      <c r="J115" s="116">
        <v>-0.45632600000000001</v>
      </c>
      <c r="K115" s="116">
        <v>-0.32911200000000002</v>
      </c>
      <c r="L115" s="116">
        <v>-0.72967899999999997</v>
      </c>
      <c r="M115" s="116">
        <v>-0.35505700000000001</v>
      </c>
      <c r="N115" s="116">
        <v>2.9885169999999999</v>
      </c>
      <c r="O115" s="116">
        <v>0.18513099999999999</v>
      </c>
      <c r="P115" s="116">
        <v>-5.6862999999999997E-2</v>
      </c>
      <c r="Q115" s="116">
        <v>-0.39354600000000001</v>
      </c>
      <c r="R115" s="116">
        <v>-6.3952</v>
      </c>
      <c r="S115" s="116">
        <v>0</v>
      </c>
      <c r="T115" s="116">
        <v>0</v>
      </c>
      <c r="U115" s="116">
        <v>0</v>
      </c>
      <c r="V115" s="116">
        <v>0</v>
      </c>
      <c r="W115" s="116">
        <v>0</v>
      </c>
      <c r="X115" s="116">
        <v>0</v>
      </c>
      <c r="Y115" s="116">
        <v>0</v>
      </c>
      <c r="Z115" s="116">
        <v>0</v>
      </c>
      <c r="AA115" s="116">
        <v>0</v>
      </c>
      <c r="AB115" s="116">
        <v>0</v>
      </c>
    </row>
    <row r="116" spans="1:28" ht="15.75" x14ac:dyDescent="0.25">
      <c r="A116" s="93">
        <v>113</v>
      </c>
      <c r="D116" s="112" t="s">
        <v>19</v>
      </c>
      <c r="E116" s="112" t="s">
        <v>22</v>
      </c>
      <c r="F116" s="113">
        <v>-455.76685820633531</v>
      </c>
      <c r="G116" s="113">
        <v>-228.00152816998059</v>
      </c>
      <c r="H116" s="113">
        <v>-844.65144606222248</v>
      </c>
      <c r="I116" s="113">
        <v>-338.3663357444438</v>
      </c>
      <c r="J116" s="113">
        <v>183.81954881884869</v>
      </c>
      <c r="K116" s="113">
        <v>-422.03742065241113</v>
      </c>
      <c r="L116" s="113">
        <v>-143.10583862988074</v>
      </c>
      <c r="M116" s="113">
        <v>75.404896967829274</v>
      </c>
      <c r="N116" s="113">
        <v>-11.482095623057958</v>
      </c>
      <c r="O116" s="113">
        <v>39.628426528369175</v>
      </c>
      <c r="P116" s="113">
        <v>465.07025998159531</v>
      </c>
      <c r="Q116" s="113">
        <v>1063.9532765656245</v>
      </c>
      <c r="R116" s="113">
        <v>28.373049537033648</v>
      </c>
      <c r="S116" s="113">
        <v>-605.99539123185707</v>
      </c>
      <c r="T116" s="113">
        <v>7.2953305607986527</v>
      </c>
      <c r="U116" s="113">
        <v>59.807081157033238</v>
      </c>
      <c r="V116" s="113">
        <v>79.673446607012735</v>
      </c>
      <c r="W116" s="113">
        <v>-469.32310057341147</v>
      </c>
      <c r="X116" s="113">
        <v>-101.87259492512754</v>
      </c>
      <c r="Y116" s="113">
        <v>-271.65028037933286</v>
      </c>
      <c r="Z116" s="113">
        <v>-243.35444347447685</v>
      </c>
      <c r="AA116" s="113">
        <v>-253.45037645147281</v>
      </c>
      <c r="AB116" s="113">
        <v>-300.3515635397772</v>
      </c>
    </row>
    <row r="117" spans="1:28" ht="9" customHeight="1" x14ac:dyDescent="0.25">
      <c r="D117" s="119"/>
      <c r="E117" s="119"/>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row>
    <row r="118" spans="1:28" ht="26.1" customHeight="1" x14ac:dyDescent="0.3">
      <c r="A118" s="93">
        <v>115</v>
      </c>
      <c r="B118" s="108"/>
      <c r="C118" s="110" t="s">
        <v>24</v>
      </c>
      <c r="D118" s="110"/>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row>
    <row r="119" spans="1:28" ht="18" customHeight="1" x14ac:dyDescent="0.25">
      <c r="A119" s="93">
        <v>116</v>
      </c>
      <c r="D119" s="112" t="s">
        <v>13</v>
      </c>
      <c r="E119" s="112" t="s">
        <v>35</v>
      </c>
      <c r="F119" s="113">
        <f>F120+F121+F125+F126</f>
        <v>-76.982715360000014</v>
      </c>
      <c r="G119" s="113">
        <f t="shared" ref="G119:I119" si="134">G120+G121+G125+G126</f>
        <v>17.134189260000007</v>
      </c>
      <c r="H119" s="113">
        <f t="shared" si="134"/>
        <v>-9.8580719999999911</v>
      </c>
      <c r="I119" s="113">
        <f t="shared" si="134"/>
        <v>31.072659039999984</v>
      </c>
      <c r="J119" s="113">
        <f>J120+J121+J125+J126</f>
        <v>4.5338976200000154</v>
      </c>
      <c r="K119" s="113">
        <f t="shared" ref="K119" si="135">K120+K121+K125+K126</f>
        <v>0.10817900000002822</v>
      </c>
      <c r="L119" s="113">
        <f t="shared" ref="L119" si="136">L120+L121+L125+L126</f>
        <v>0.10819699999998456</v>
      </c>
      <c r="M119" s="113">
        <f t="shared" ref="M119" si="137">M120+M121+M125+M126</f>
        <v>-2.520536120000024</v>
      </c>
      <c r="N119" s="113">
        <f>N120+N121+N125+N126</f>
        <v>-29.105495000000012</v>
      </c>
      <c r="O119" s="113">
        <f t="shared" ref="O119" si="138">O120+O121+O125+O126</f>
        <v>-3.2958750000000272</v>
      </c>
      <c r="P119" s="113">
        <f t="shared" ref="P119" si="139">P120+P121+P125+P126</f>
        <v>0.13774728499993572</v>
      </c>
      <c r="Q119" s="113">
        <f t="shared" ref="Q119" si="140">Q120+Q121+Q125+Q126</f>
        <v>4.7411757150001241</v>
      </c>
      <c r="R119" s="113">
        <f>R120+R121+R125+R126</f>
        <v>-2.9643000000085351E-2</v>
      </c>
      <c r="S119" s="113">
        <f t="shared" ref="S119" si="141">S120+S121+S125+S126</f>
        <v>-0.38584700000000027</v>
      </c>
      <c r="T119" s="113">
        <f t="shared" ref="T119" si="142">T120+T121+T125+T126</f>
        <v>5.070062399999931</v>
      </c>
      <c r="U119" s="113">
        <f t="shared" ref="U119" si="143">U120+U121+U125+U126</f>
        <v>-5.9770530000000424</v>
      </c>
      <c r="V119" s="113">
        <f>V120+V121+V125+V126</f>
        <v>728.85519298642021</v>
      </c>
      <c r="W119" s="113">
        <f t="shared" ref="W119:X119" si="144">W120+W121+W125+W126</f>
        <v>4.6129845579996331E-2</v>
      </c>
      <c r="X119" s="113">
        <f t="shared" si="144"/>
        <v>-1.3651690000000563</v>
      </c>
      <c r="Y119" s="113">
        <f t="shared" ref="Y119:Z119" si="145">Y120+Y121+Y125+Y126</f>
        <v>-1.5366031119999235</v>
      </c>
      <c r="Z119" s="113">
        <f t="shared" si="145"/>
        <v>-688.66095892241992</v>
      </c>
      <c r="AA119" s="113">
        <f t="shared" ref="AA119:AB119" si="146">AA120+AA121+AA125+AA126</f>
        <v>7.957500000004103E-2</v>
      </c>
      <c r="AB119" s="113">
        <f t="shared" si="146"/>
        <v>0.23884646325988257</v>
      </c>
    </row>
    <row r="120" spans="1:28" x14ac:dyDescent="0.25">
      <c r="A120" s="93">
        <v>117</v>
      </c>
      <c r="D120" s="114" t="s">
        <v>14</v>
      </c>
      <c r="E120" s="114" t="s">
        <v>23</v>
      </c>
      <c r="F120" s="118">
        <v>-82.321994620000027</v>
      </c>
      <c r="G120" s="118">
        <v>0</v>
      </c>
      <c r="H120" s="118">
        <v>-8.7829477800000006</v>
      </c>
      <c r="I120" s="118">
        <v>6.5705093799999901</v>
      </c>
      <c r="J120" s="118">
        <v>-0.57979011999996999</v>
      </c>
      <c r="K120" s="118">
        <v>-4.9677940000009357E-2</v>
      </c>
      <c r="L120" s="118">
        <v>-3.9453099399999729</v>
      </c>
      <c r="M120" s="118">
        <v>-2.4455142400000511</v>
      </c>
      <c r="N120" s="118">
        <v>-26.617772700000017</v>
      </c>
      <c r="O120" s="118">
        <v>-2.0113554400000027</v>
      </c>
      <c r="P120" s="118">
        <v>0.41216145999999299</v>
      </c>
      <c r="Q120" s="118">
        <v>2.9826158200000634</v>
      </c>
      <c r="R120" s="118">
        <v>5.6461859199999651</v>
      </c>
      <c r="S120" s="118">
        <v>0</v>
      </c>
      <c r="T120" s="118">
        <v>-0.23389920000008146</v>
      </c>
      <c r="U120" s="118">
        <v>-0.11250245500001199</v>
      </c>
      <c r="V120" s="118">
        <v>728.15511448074005</v>
      </c>
      <c r="W120" s="118">
        <v>0</v>
      </c>
      <c r="X120" s="118">
        <v>0.316589150860068</v>
      </c>
      <c r="Y120" s="118">
        <v>1.5860023519400102</v>
      </c>
      <c r="Z120" s="118">
        <v>-728.00280463141996</v>
      </c>
      <c r="AA120" s="118">
        <v>8.4899725900001499E-2</v>
      </c>
      <c r="AB120" s="118">
        <v>0.50260576729998263</v>
      </c>
    </row>
    <row r="121" spans="1:28" x14ac:dyDescent="0.25">
      <c r="A121" s="93">
        <v>118</v>
      </c>
      <c r="D121" s="114" t="s">
        <v>15</v>
      </c>
      <c r="E121" s="114" t="s">
        <v>0</v>
      </c>
      <c r="F121" s="116">
        <f>SUM(F122:F124)</f>
        <v>0</v>
      </c>
      <c r="G121" s="116">
        <f t="shared" ref="G121:I121" si="147">SUM(G122:G124)</f>
        <v>0</v>
      </c>
      <c r="H121" s="116">
        <f t="shared" si="147"/>
        <v>0</v>
      </c>
      <c r="I121" s="116">
        <f t="shared" si="147"/>
        <v>0</v>
      </c>
      <c r="J121" s="116">
        <f>SUM(J122:J124)</f>
        <v>0</v>
      </c>
      <c r="K121" s="116">
        <f t="shared" ref="K121" si="148">SUM(K122:K124)</f>
        <v>0</v>
      </c>
      <c r="L121" s="116">
        <f t="shared" ref="L121" si="149">SUM(L122:L124)</f>
        <v>0</v>
      </c>
      <c r="M121" s="116">
        <f t="shared" ref="M121" si="150">SUM(M122:M124)</f>
        <v>0</v>
      </c>
      <c r="N121" s="116">
        <f>SUM(N122:N124)</f>
        <v>0</v>
      </c>
      <c r="O121" s="116">
        <f t="shared" ref="O121" si="151">SUM(O122:O124)</f>
        <v>0</v>
      </c>
      <c r="P121" s="116">
        <f t="shared" ref="P121" si="152">SUM(P122:P124)</f>
        <v>0</v>
      </c>
      <c r="Q121" s="116">
        <f t="shared" ref="Q121" si="153">SUM(Q122:Q124)</f>
        <v>1.3</v>
      </c>
      <c r="R121" s="116">
        <f>SUM(R122:R124)</f>
        <v>0</v>
      </c>
      <c r="S121" s="116">
        <f t="shared" ref="S121" si="154">SUM(S122:S124)</f>
        <v>-0.354182</v>
      </c>
      <c r="T121" s="116">
        <f t="shared" ref="T121" si="155">SUM(T122:T124)</f>
        <v>4.9832100000000006</v>
      </c>
      <c r="U121" s="116">
        <f t="shared" ref="U121" si="156">SUM(U122:U124)</f>
        <v>-5.8624950000000009</v>
      </c>
      <c r="V121" s="116">
        <f>SUM(V122:V124)</f>
        <v>0.93369999999999997</v>
      </c>
      <c r="W121" s="116">
        <f t="shared" ref="W121:X121" si="157">SUM(W122:W124)</f>
        <v>-1.5800000000000036E-2</v>
      </c>
      <c r="X121" s="116">
        <f t="shared" si="157"/>
        <v>-1.3931</v>
      </c>
      <c r="Y121" s="116">
        <f t="shared" ref="Y121:Z121" si="158">SUM(Y122:Y124)</f>
        <v>0</v>
      </c>
      <c r="Z121" s="116">
        <f t="shared" si="158"/>
        <v>39.334780000000002</v>
      </c>
      <c r="AA121" s="116">
        <f t="shared" ref="AA121:AB121" si="159">SUM(AA122:AA124)</f>
        <v>0</v>
      </c>
      <c r="AB121" s="116">
        <f t="shared" si="159"/>
        <v>0</v>
      </c>
    </row>
    <row r="122" spans="1:28" x14ac:dyDescent="0.25">
      <c r="A122" s="93">
        <v>119</v>
      </c>
      <c r="D122" s="117" t="s">
        <v>26</v>
      </c>
      <c r="E122" s="117" t="s">
        <v>25</v>
      </c>
      <c r="F122" s="118">
        <v>0</v>
      </c>
      <c r="G122" s="118">
        <v>0</v>
      </c>
      <c r="H122" s="118">
        <v>0</v>
      </c>
      <c r="I122" s="118">
        <v>0</v>
      </c>
      <c r="J122" s="118">
        <v>0</v>
      </c>
      <c r="K122" s="118">
        <v>0</v>
      </c>
      <c r="L122" s="118">
        <v>0</v>
      </c>
      <c r="M122" s="118">
        <v>0</v>
      </c>
      <c r="N122" s="118">
        <v>0</v>
      </c>
      <c r="O122" s="118">
        <v>0</v>
      </c>
      <c r="P122" s="118">
        <v>0</v>
      </c>
      <c r="Q122" s="118">
        <v>0</v>
      </c>
      <c r="R122" s="118">
        <v>0</v>
      </c>
      <c r="S122" s="118">
        <v>0</v>
      </c>
      <c r="T122" s="118">
        <v>0</v>
      </c>
      <c r="U122" s="118">
        <v>0</v>
      </c>
      <c r="V122" s="118">
        <v>0</v>
      </c>
      <c r="W122" s="118">
        <v>0</v>
      </c>
      <c r="X122" s="118">
        <v>0</v>
      </c>
      <c r="Y122" s="118">
        <v>0</v>
      </c>
      <c r="Z122" s="118">
        <v>0</v>
      </c>
      <c r="AA122" s="118">
        <v>0</v>
      </c>
      <c r="AB122" s="118">
        <v>0</v>
      </c>
    </row>
    <row r="123" spans="1:28" x14ac:dyDescent="0.25">
      <c r="A123" s="93">
        <v>120</v>
      </c>
      <c r="D123" s="117" t="s">
        <v>16</v>
      </c>
      <c r="E123" s="117" t="s">
        <v>27</v>
      </c>
      <c r="F123" s="118">
        <v>0</v>
      </c>
      <c r="G123" s="118">
        <v>0</v>
      </c>
      <c r="H123" s="118">
        <v>0</v>
      </c>
      <c r="I123" s="118">
        <v>0</v>
      </c>
      <c r="J123" s="118">
        <v>0</v>
      </c>
      <c r="K123" s="118">
        <v>0</v>
      </c>
      <c r="L123" s="118">
        <v>0</v>
      </c>
      <c r="M123" s="118">
        <v>0</v>
      </c>
      <c r="N123" s="118">
        <v>0</v>
      </c>
      <c r="O123" s="118">
        <v>0</v>
      </c>
      <c r="P123" s="118">
        <v>0</v>
      </c>
      <c r="Q123" s="118">
        <v>1.3</v>
      </c>
      <c r="R123" s="118">
        <v>0</v>
      </c>
      <c r="S123" s="118">
        <v>-0.354182</v>
      </c>
      <c r="T123" s="118">
        <v>4.9832100000000006</v>
      </c>
      <c r="U123" s="118">
        <v>-5.8624950000000009</v>
      </c>
      <c r="V123" s="118">
        <v>0.93369999999999997</v>
      </c>
      <c r="W123" s="118">
        <v>-1.5800000000000036E-2</v>
      </c>
      <c r="X123" s="118">
        <v>-1.3931</v>
      </c>
      <c r="Y123" s="118">
        <v>0</v>
      </c>
      <c r="Z123" s="118">
        <v>39.334780000000002</v>
      </c>
      <c r="AA123" s="118">
        <v>0</v>
      </c>
      <c r="AB123" s="118">
        <v>0</v>
      </c>
    </row>
    <row r="124" spans="1:28" x14ac:dyDescent="0.25">
      <c r="A124" s="93">
        <v>121</v>
      </c>
      <c r="D124" s="117" t="s">
        <v>17</v>
      </c>
      <c r="E124" s="117" t="s">
        <v>28</v>
      </c>
      <c r="F124" s="118">
        <v>0</v>
      </c>
      <c r="G124" s="118">
        <v>0</v>
      </c>
      <c r="H124" s="118">
        <v>0</v>
      </c>
      <c r="I124" s="118">
        <v>0</v>
      </c>
      <c r="J124" s="118">
        <v>0</v>
      </c>
      <c r="K124" s="118">
        <v>0</v>
      </c>
      <c r="L124" s="118">
        <v>0</v>
      </c>
      <c r="M124" s="118">
        <v>0</v>
      </c>
      <c r="N124" s="118">
        <v>0</v>
      </c>
      <c r="O124" s="118">
        <v>0</v>
      </c>
      <c r="P124" s="118">
        <v>0</v>
      </c>
      <c r="Q124" s="118">
        <v>0</v>
      </c>
      <c r="R124" s="118">
        <v>0</v>
      </c>
      <c r="S124" s="118">
        <v>0</v>
      </c>
      <c r="T124" s="118">
        <v>0</v>
      </c>
      <c r="U124" s="118">
        <v>0</v>
      </c>
      <c r="V124" s="118">
        <v>0</v>
      </c>
      <c r="W124" s="118">
        <v>0</v>
      </c>
      <c r="X124" s="118">
        <v>0</v>
      </c>
      <c r="Y124" s="118">
        <v>0</v>
      </c>
      <c r="Z124" s="118">
        <v>0</v>
      </c>
      <c r="AA124" s="118">
        <v>0</v>
      </c>
      <c r="AB124" s="118">
        <v>0</v>
      </c>
    </row>
    <row r="125" spans="1:28" x14ac:dyDescent="0.25">
      <c r="A125" s="93">
        <v>122</v>
      </c>
      <c r="D125" s="114" t="s">
        <v>1</v>
      </c>
      <c r="E125" s="114" t="s">
        <v>29</v>
      </c>
      <c r="F125" s="116">
        <v>0</v>
      </c>
      <c r="G125" s="116">
        <v>0</v>
      </c>
      <c r="H125" s="116">
        <v>0</v>
      </c>
      <c r="I125" s="116">
        <v>0</v>
      </c>
      <c r="J125" s="116">
        <v>0</v>
      </c>
      <c r="K125" s="116">
        <v>0</v>
      </c>
      <c r="L125" s="116">
        <v>0</v>
      </c>
      <c r="M125" s="116">
        <v>0</v>
      </c>
      <c r="N125" s="116">
        <v>0</v>
      </c>
      <c r="O125" s="116">
        <v>0</v>
      </c>
      <c r="P125" s="116">
        <v>0</v>
      </c>
      <c r="Q125" s="116">
        <v>0</v>
      </c>
      <c r="R125" s="116">
        <v>0</v>
      </c>
      <c r="S125" s="116">
        <v>0</v>
      </c>
      <c r="T125" s="116">
        <v>0</v>
      </c>
      <c r="U125" s="116">
        <v>0</v>
      </c>
      <c r="V125" s="116">
        <v>0</v>
      </c>
      <c r="W125" s="116">
        <v>0</v>
      </c>
      <c r="X125" s="116">
        <v>0</v>
      </c>
      <c r="Y125" s="116">
        <v>0</v>
      </c>
      <c r="Z125" s="116">
        <v>0</v>
      </c>
      <c r="AA125" s="116">
        <v>0</v>
      </c>
      <c r="AB125" s="116">
        <v>0</v>
      </c>
    </row>
    <row r="126" spans="1:28" x14ac:dyDescent="0.25">
      <c r="A126" s="93">
        <v>123</v>
      </c>
      <c r="D126" s="114" t="s">
        <v>30</v>
      </c>
      <c r="E126" s="114" t="s">
        <v>31</v>
      </c>
      <c r="F126" s="116">
        <v>5.3392792600000067</v>
      </c>
      <c r="G126" s="116">
        <v>17.134189260000007</v>
      </c>
      <c r="H126" s="116">
        <v>-1.0751242199999904</v>
      </c>
      <c r="I126" s="116">
        <v>24.502149659999994</v>
      </c>
      <c r="J126" s="116">
        <v>5.1136877399999854</v>
      </c>
      <c r="K126" s="116">
        <v>0.15785694000003758</v>
      </c>
      <c r="L126" s="116">
        <v>4.0535069399999575</v>
      </c>
      <c r="M126" s="116">
        <v>-7.5021879999972896E-2</v>
      </c>
      <c r="N126" s="116">
        <v>-2.4877222999999962</v>
      </c>
      <c r="O126" s="116">
        <v>-1.2845195600000245</v>
      </c>
      <c r="P126" s="116">
        <v>-0.27441417500005727</v>
      </c>
      <c r="Q126" s="116">
        <v>0.45855989500006089</v>
      </c>
      <c r="R126" s="116">
        <v>-5.6758289200000505</v>
      </c>
      <c r="S126" s="116">
        <v>-3.1665000000000276E-2</v>
      </c>
      <c r="T126" s="116">
        <v>0.3207516000000119</v>
      </c>
      <c r="U126" s="116">
        <v>-2.0555450000294684E-3</v>
      </c>
      <c r="V126" s="116">
        <v>-0.23362149431986623</v>
      </c>
      <c r="W126" s="116">
        <v>6.1929845579996368E-2</v>
      </c>
      <c r="X126" s="116">
        <v>-0.28865815086012425</v>
      </c>
      <c r="Y126" s="116">
        <v>-3.1226054639399337</v>
      </c>
      <c r="Z126" s="116">
        <v>7.0657089999972555E-3</v>
      </c>
      <c r="AA126" s="116">
        <v>-5.3247258999604696E-3</v>
      </c>
      <c r="AB126" s="116">
        <v>-0.26375930404010006</v>
      </c>
    </row>
    <row r="127" spans="1:28" ht="15.75" x14ac:dyDescent="0.25">
      <c r="A127" s="93">
        <v>124</v>
      </c>
      <c r="D127" s="112" t="s">
        <v>19</v>
      </c>
      <c r="E127" s="112" t="s">
        <v>22</v>
      </c>
      <c r="F127" s="113">
        <v>268.38592047164798</v>
      </c>
      <c r="G127" s="113">
        <v>100.62326416857179</v>
      </c>
      <c r="H127" s="113">
        <v>304.31207396739131</v>
      </c>
      <c r="I127" s="113">
        <v>302.89629669565221</v>
      </c>
      <c r="J127" s="113">
        <v>282.07593433333312</v>
      </c>
      <c r="K127" s="113">
        <v>351.90476307692273</v>
      </c>
      <c r="L127" s="113">
        <v>65.341270391304377</v>
      </c>
      <c r="M127" s="113">
        <v>412.70869962000006</v>
      </c>
      <c r="N127" s="113">
        <v>614.44982639999989</v>
      </c>
      <c r="O127" s="113">
        <v>554.96576032967062</v>
      </c>
      <c r="P127" s="113">
        <v>867.87602842043407</v>
      </c>
      <c r="Q127" s="113">
        <v>519.42674618826106</v>
      </c>
      <c r="R127" s="113">
        <v>821.2789003333337</v>
      </c>
      <c r="S127" s="113">
        <v>389.00526632967018</v>
      </c>
      <c r="T127" s="113">
        <v>1801.4275525</v>
      </c>
      <c r="U127" s="113">
        <v>338.62517460869537</v>
      </c>
      <c r="V127" s="113">
        <v>-186.42513881220407</v>
      </c>
      <c r="W127" s="113">
        <v>866.72843955567919</v>
      </c>
      <c r="X127" s="113">
        <v>1910.9340921567116</v>
      </c>
      <c r="Y127" s="113">
        <v>2167.1645891143776</v>
      </c>
      <c r="Z127" s="113">
        <v>1483.3665460736599</v>
      </c>
      <c r="AA127" s="113">
        <v>1299.0879600356952</v>
      </c>
      <c r="AB127" s="113">
        <v>1145.9806710805201</v>
      </c>
    </row>
    <row r="128" spans="1:28" ht="9" customHeight="1" x14ac:dyDescent="0.25">
      <c r="A128" s="93">
        <v>125</v>
      </c>
      <c r="D128" s="119"/>
      <c r="E128" s="119"/>
      <c r="F128" s="120">
        <v>0</v>
      </c>
      <c r="G128" s="120">
        <v>0</v>
      </c>
      <c r="H128" s="120">
        <v>0</v>
      </c>
      <c r="I128" s="120">
        <v>0</v>
      </c>
      <c r="J128" s="120">
        <v>0</v>
      </c>
      <c r="K128" s="120">
        <v>0</v>
      </c>
      <c r="L128" s="120">
        <v>0</v>
      </c>
      <c r="M128" s="120">
        <v>0</v>
      </c>
      <c r="N128" s="120">
        <v>0</v>
      </c>
      <c r="O128" s="120">
        <v>0</v>
      </c>
      <c r="P128" s="120">
        <v>0</v>
      </c>
      <c r="Q128" s="120">
        <v>0</v>
      </c>
      <c r="R128" s="120">
        <v>0</v>
      </c>
      <c r="S128" s="120">
        <v>0</v>
      </c>
      <c r="T128" s="120">
        <v>0</v>
      </c>
      <c r="U128" s="120">
        <v>0</v>
      </c>
      <c r="V128" s="120">
        <v>0</v>
      </c>
      <c r="W128" s="120">
        <v>0</v>
      </c>
      <c r="X128" s="120">
        <v>0</v>
      </c>
      <c r="Y128" s="120">
        <v>0</v>
      </c>
      <c r="Z128" s="120">
        <v>0</v>
      </c>
      <c r="AA128" s="120">
        <v>0</v>
      </c>
      <c r="AB128" s="120">
        <v>0</v>
      </c>
    </row>
    <row r="129" spans="1:28" ht="35.1" customHeight="1" x14ac:dyDescent="0.3">
      <c r="A129" s="93">
        <v>126</v>
      </c>
      <c r="B129" s="107" t="s">
        <v>59</v>
      </c>
      <c r="C129" s="108"/>
      <c r="D129" s="108"/>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c r="AB129" s="111"/>
    </row>
    <row r="130" spans="1:28" ht="26.1" customHeight="1" x14ac:dyDescent="0.3">
      <c r="A130" s="93">
        <v>127</v>
      </c>
      <c r="B130" s="108"/>
      <c r="C130" s="110" t="s">
        <v>11</v>
      </c>
      <c r="D130" s="110"/>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row>
    <row r="131" spans="1:28" ht="18" customHeight="1" x14ac:dyDescent="0.25">
      <c r="A131" s="93">
        <v>128</v>
      </c>
      <c r="D131" s="112" t="s">
        <v>13</v>
      </c>
      <c r="E131" s="112" t="s">
        <v>35</v>
      </c>
      <c r="F131" s="113">
        <f>F132+F133+F137+F138</f>
        <v>-3.0000000000000001E-6</v>
      </c>
      <c r="G131" s="113">
        <f t="shared" ref="G131:W131" si="160">G132+G133+G137+G138</f>
        <v>0</v>
      </c>
      <c r="H131" s="113">
        <f t="shared" si="160"/>
        <v>0</v>
      </c>
      <c r="I131" s="113">
        <f t="shared" si="160"/>
        <v>0</v>
      </c>
      <c r="J131" s="113">
        <f t="shared" si="160"/>
        <v>0</v>
      </c>
      <c r="K131" s="113">
        <f t="shared" si="160"/>
        <v>0</v>
      </c>
      <c r="L131" s="113">
        <f t="shared" si="160"/>
        <v>0</v>
      </c>
      <c r="M131" s="113">
        <f t="shared" si="160"/>
        <v>0</v>
      </c>
      <c r="N131" s="113">
        <f t="shared" si="160"/>
        <v>0</v>
      </c>
      <c r="O131" s="113">
        <f t="shared" si="160"/>
        <v>0</v>
      </c>
      <c r="P131" s="113">
        <f t="shared" si="160"/>
        <v>0</v>
      </c>
      <c r="Q131" s="113">
        <f t="shared" si="160"/>
        <v>0</v>
      </c>
      <c r="R131" s="113">
        <f t="shared" si="160"/>
        <v>0</v>
      </c>
      <c r="S131" s="113">
        <f t="shared" si="160"/>
        <v>0</v>
      </c>
      <c r="T131" s="113">
        <f t="shared" si="160"/>
        <v>0</v>
      </c>
      <c r="U131" s="113">
        <f t="shared" si="160"/>
        <v>0</v>
      </c>
      <c r="V131" s="113">
        <f t="shared" si="160"/>
        <v>0</v>
      </c>
      <c r="W131" s="113">
        <f t="shared" si="160"/>
        <v>0</v>
      </c>
      <c r="X131" s="113">
        <f t="shared" ref="X131:Y131" si="161">X132+X133+X137+X138</f>
        <v>0</v>
      </c>
      <c r="Y131" s="113">
        <f t="shared" si="161"/>
        <v>0</v>
      </c>
      <c r="Z131" s="113">
        <f t="shared" ref="Z131:AA131" si="162">Z132+Z133+Z137+Z138</f>
        <v>0</v>
      </c>
      <c r="AA131" s="113">
        <f t="shared" si="162"/>
        <v>0</v>
      </c>
      <c r="AB131" s="113">
        <f t="shared" ref="AB131" si="163">AB132+AB133+AB137+AB138</f>
        <v>0</v>
      </c>
    </row>
    <row r="132" spans="1:28" x14ac:dyDescent="0.25">
      <c r="A132" s="93">
        <v>129</v>
      </c>
      <c r="D132" s="114" t="s">
        <v>14</v>
      </c>
      <c r="E132" s="114" t="s">
        <v>23</v>
      </c>
      <c r="F132" s="118">
        <v>0</v>
      </c>
      <c r="G132" s="118">
        <v>0</v>
      </c>
      <c r="H132" s="118">
        <v>0</v>
      </c>
      <c r="I132" s="118">
        <v>0</v>
      </c>
      <c r="J132" s="118">
        <v>0</v>
      </c>
      <c r="K132" s="118">
        <v>0</v>
      </c>
      <c r="L132" s="118">
        <v>0</v>
      </c>
      <c r="M132" s="118">
        <v>0</v>
      </c>
      <c r="N132" s="118">
        <v>0</v>
      </c>
      <c r="O132" s="118">
        <v>0</v>
      </c>
      <c r="P132" s="118">
        <v>0</v>
      </c>
      <c r="Q132" s="118">
        <v>0</v>
      </c>
      <c r="R132" s="118">
        <v>0</v>
      </c>
      <c r="S132" s="118">
        <v>0</v>
      </c>
      <c r="T132" s="118">
        <v>0</v>
      </c>
      <c r="U132" s="118">
        <v>0</v>
      </c>
      <c r="V132" s="118">
        <v>0</v>
      </c>
      <c r="W132" s="118">
        <v>0</v>
      </c>
      <c r="X132" s="118">
        <v>0</v>
      </c>
      <c r="Y132" s="118">
        <v>0</v>
      </c>
      <c r="Z132" s="118">
        <v>0</v>
      </c>
      <c r="AA132" s="118">
        <v>0</v>
      </c>
      <c r="AB132" s="118">
        <v>0</v>
      </c>
    </row>
    <row r="133" spans="1:28" x14ac:dyDescent="0.25">
      <c r="A133" s="93">
        <v>130</v>
      </c>
      <c r="D133" s="114" t="s">
        <v>15</v>
      </c>
      <c r="E133" s="114" t="s">
        <v>0</v>
      </c>
      <c r="F133" s="116">
        <f>SUM(F134:F136)</f>
        <v>-3.0000000000000001E-6</v>
      </c>
      <c r="G133" s="116">
        <f t="shared" ref="G133:W133" si="164">SUM(G134:G136)</f>
        <v>0</v>
      </c>
      <c r="H133" s="116">
        <f t="shared" si="164"/>
        <v>0</v>
      </c>
      <c r="I133" s="116">
        <f t="shared" si="164"/>
        <v>0</v>
      </c>
      <c r="J133" s="116">
        <f t="shared" si="164"/>
        <v>0</v>
      </c>
      <c r="K133" s="116">
        <f t="shared" si="164"/>
        <v>0</v>
      </c>
      <c r="L133" s="116">
        <f t="shared" si="164"/>
        <v>0</v>
      </c>
      <c r="M133" s="116">
        <f t="shared" si="164"/>
        <v>0</v>
      </c>
      <c r="N133" s="116">
        <f t="shared" si="164"/>
        <v>0</v>
      </c>
      <c r="O133" s="116">
        <f t="shared" si="164"/>
        <v>0</v>
      </c>
      <c r="P133" s="116">
        <f t="shared" si="164"/>
        <v>0</v>
      </c>
      <c r="Q133" s="116">
        <f t="shared" si="164"/>
        <v>0</v>
      </c>
      <c r="R133" s="116">
        <f t="shared" si="164"/>
        <v>0</v>
      </c>
      <c r="S133" s="116">
        <f t="shared" si="164"/>
        <v>0</v>
      </c>
      <c r="T133" s="116">
        <f t="shared" si="164"/>
        <v>0</v>
      </c>
      <c r="U133" s="116">
        <f t="shared" si="164"/>
        <v>0</v>
      </c>
      <c r="V133" s="116">
        <f t="shared" si="164"/>
        <v>0</v>
      </c>
      <c r="W133" s="116">
        <f t="shared" si="164"/>
        <v>0</v>
      </c>
      <c r="X133" s="116">
        <f t="shared" ref="X133:Y133" si="165">SUM(X134:X136)</f>
        <v>0</v>
      </c>
      <c r="Y133" s="116">
        <f t="shared" si="165"/>
        <v>0</v>
      </c>
      <c r="Z133" s="116">
        <f t="shared" ref="Z133:AA133" si="166">SUM(Z134:Z136)</f>
        <v>0</v>
      </c>
      <c r="AA133" s="116">
        <f t="shared" si="166"/>
        <v>0</v>
      </c>
      <c r="AB133" s="116">
        <f t="shared" ref="AB133" si="167">SUM(AB134:AB136)</f>
        <v>0</v>
      </c>
    </row>
    <row r="134" spans="1:28" x14ac:dyDescent="0.25">
      <c r="A134" s="93">
        <v>131</v>
      </c>
      <c r="D134" s="117" t="s">
        <v>26</v>
      </c>
      <c r="E134" s="117" t="s">
        <v>25</v>
      </c>
      <c r="F134" s="118">
        <v>-3.0000000000000001E-6</v>
      </c>
      <c r="G134" s="118">
        <v>0</v>
      </c>
      <c r="H134" s="118">
        <v>0</v>
      </c>
      <c r="I134" s="118">
        <v>0</v>
      </c>
      <c r="J134" s="118">
        <v>0</v>
      </c>
      <c r="K134" s="118">
        <v>0</v>
      </c>
      <c r="L134" s="118">
        <v>0</v>
      </c>
      <c r="M134" s="118">
        <v>0</v>
      </c>
      <c r="N134" s="118">
        <v>0</v>
      </c>
      <c r="O134" s="118">
        <v>0</v>
      </c>
      <c r="P134" s="118">
        <v>0</v>
      </c>
      <c r="Q134" s="118">
        <v>0</v>
      </c>
      <c r="R134" s="118">
        <v>0</v>
      </c>
      <c r="S134" s="118">
        <v>0</v>
      </c>
      <c r="T134" s="118">
        <v>0</v>
      </c>
      <c r="U134" s="118">
        <v>0</v>
      </c>
      <c r="V134" s="118">
        <v>0</v>
      </c>
      <c r="W134" s="118">
        <v>0</v>
      </c>
      <c r="X134" s="118">
        <v>0</v>
      </c>
      <c r="Y134" s="118">
        <v>0</v>
      </c>
      <c r="Z134" s="118">
        <v>0</v>
      </c>
      <c r="AA134" s="118">
        <v>0</v>
      </c>
      <c r="AB134" s="118">
        <v>0</v>
      </c>
    </row>
    <row r="135" spans="1:28" x14ac:dyDescent="0.25">
      <c r="A135" s="93">
        <v>132</v>
      </c>
      <c r="D135" s="117" t="s">
        <v>16</v>
      </c>
      <c r="E135" s="117" t="s">
        <v>27</v>
      </c>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row>
    <row r="136" spans="1:28" x14ac:dyDescent="0.25">
      <c r="A136" s="93">
        <v>133</v>
      </c>
      <c r="D136" s="117" t="s">
        <v>17</v>
      </c>
      <c r="E136" s="117" t="s">
        <v>28</v>
      </c>
      <c r="F136" s="118">
        <v>0</v>
      </c>
      <c r="G136" s="118">
        <v>0</v>
      </c>
      <c r="H136" s="118">
        <v>0</v>
      </c>
      <c r="I136" s="118">
        <v>0</v>
      </c>
      <c r="J136" s="118">
        <v>0</v>
      </c>
      <c r="K136" s="118">
        <v>0</v>
      </c>
      <c r="L136" s="118">
        <v>0</v>
      </c>
      <c r="M136" s="118">
        <v>0</v>
      </c>
      <c r="N136" s="118">
        <v>0</v>
      </c>
      <c r="O136" s="118">
        <v>0</v>
      </c>
      <c r="P136" s="118">
        <v>0</v>
      </c>
      <c r="Q136" s="118">
        <v>0</v>
      </c>
      <c r="R136" s="118">
        <v>0</v>
      </c>
      <c r="S136" s="118">
        <v>0</v>
      </c>
      <c r="T136" s="118">
        <v>0</v>
      </c>
      <c r="U136" s="118">
        <v>0</v>
      </c>
      <c r="V136" s="118">
        <v>0</v>
      </c>
      <c r="W136" s="118">
        <v>0</v>
      </c>
      <c r="X136" s="118">
        <v>0</v>
      </c>
      <c r="Y136" s="118">
        <v>0</v>
      </c>
      <c r="Z136" s="118">
        <v>0</v>
      </c>
      <c r="AA136" s="118">
        <v>0</v>
      </c>
      <c r="AB136" s="118">
        <v>0</v>
      </c>
    </row>
    <row r="137" spans="1:28" x14ac:dyDescent="0.25">
      <c r="A137" s="93">
        <v>134</v>
      </c>
      <c r="D137" s="114" t="s">
        <v>1</v>
      </c>
      <c r="E137" s="114" t="s">
        <v>29</v>
      </c>
      <c r="F137" s="116">
        <v>0</v>
      </c>
      <c r="G137" s="116">
        <v>0</v>
      </c>
      <c r="H137" s="116">
        <v>0</v>
      </c>
      <c r="I137" s="116">
        <v>0</v>
      </c>
      <c r="J137" s="116">
        <v>0</v>
      </c>
      <c r="K137" s="116">
        <v>0</v>
      </c>
      <c r="L137" s="116">
        <v>0</v>
      </c>
      <c r="M137" s="116">
        <v>0</v>
      </c>
      <c r="N137" s="116">
        <v>0</v>
      </c>
      <c r="O137" s="116">
        <v>0</v>
      </c>
      <c r="P137" s="116">
        <v>0</v>
      </c>
      <c r="Q137" s="116">
        <v>0</v>
      </c>
      <c r="R137" s="116">
        <v>0</v>
      </c>
      <c r="S137" s="116">
        <v>0</v>
      </c>
      <c r="T137" s="116">
        <v>0</v>
      </c>
      <c r="U137" s="116">
        <v>0</v>
      </c>
      <c r="V137" s="116">
        <v>0</v>
      </c>
      <c r="W137" s="116">
        <v>0</v>
      </c>
      <c r="X137" s="116">
        <v>0</v>
      </c>
      <c r="Y137" s="116">
        <v>0</v>
      </c>
      <c r="Z137" s="116">
        <v>0</v>
      </c>
      <c r="AA137" s="116">
        <v>0</v>
      </c>
      <c r="AB137" s="116">
        <v>0</v>
      </c>
    </row>
    <row r="138" spans="1:28" x14ac:dyDescent="0.25">
      <c r="A138" s="93">
        <v>135</v>
      </c>
      <c r="D138" s="114" t="s">
        <v>30</v>
      </c>
      <c r="E138" s="114" t="s">
        <v>31</v>
      </c>
      <c r="F138" s="116">
        <v>0</v>
      </c>
      <c r="G138" s="116">
        <v>0</v>
      </c>
      <c r="H138" s="116">
        <v>0</v>
      </c>
      <c r="I138" s="116">
        <v>0</v>
      </c>
      <c r="J138" s="116">
        <v>0</v>
      </c>
      <c r="K138" s="116">
        <v>0</v>
      </c>
      <c r="L138" s="116">
        <v>0</v>
      </c>
      <c r="M138" s="116">
        <v>0</v>
      </c>
      <c r="N138" s="116">
        <v>0</v>
      </c>
      <c r="O138" s="116">
        <v>0</v>
      </c>
      <c r="P138" s="116">
        <v>0</v>
      </c>
      <c r="Q138" s="116">
        <v>0</v>
      </c>
      <c r="R138" s="116">
        <v>0</v>
      </c>
      <c r="S138" s="116">
        <v>0</v>
      </c>
      <c r="T138" s="116">
        <v>0</v>
      </c>
      <c r="U138" s="116">
        <v>0</v>
      </c>
      <c r="V138" s="116">
        <v>0</v>
      </c>
      <c r="W138" s="116">
        <v>0</v>
      </c>
      <c r="X138" s="116">
        <v>0</v>
      </c>
      <c r="Y138" s="116">
        <v>0</v>
      </c>
      <c r="Z138" s="116">
        <v>0</v>
      </c>
      <c r="AA138" s="116">
        <v>0</v>
      </c>
      <c r="AB138" s="116">
        <v>0</v>
      </c>
    </row>
    <row r="139" spans="1:28" ht="15.75" x14ac:dyDescent="0.25">
      <c r="A139" s="93">
        <v>136</v>
      </c>
      <c r="D139" s="112" t="s">
        <v>19</v>
      </c>
      <c r="E139" s="112" t="s">
        <v>22</v>
      </c>
      <c r="F139" s="113">
        <v>0</v>
      </c>
      <c r="G139" s="113">
        <v>0</v>
      </c>
      <c r="H139" s="113">
        <v>0</v>
      </c>
      <c r="I139" s="113">
        <v>0</v>
      </c>
      <c r="J139" s="113">
        <v>0</v>
      </c>
      <c r="K139" s="113">
        <v>0</v>
      </c>
      <c r="L139" s="113">
        <v>0</v>
      </c>
      <c r="M139" s="113">
        <v>0</v>
      </c>
      <c r="N139" s="113">
        <v>0</v>
      </c>
      <c r="O139" s="113">
        <v>0</v>
      </c>
      <c r="P139" s="113">
        <v>0</v>
      </c>
      <c r="Q139" s="113">
        <v>0</v>
      </c>
      <c r="R139" s="113">
        <v>0</v>
      </c>
      <c r="S139" s="113">
        <v>0</v>
      </c>
      <c r="T139" s="113">
        <v>0</v>
      </c>
      <c r="U139" s="113">
        <v>0</v>
      </c>
      <c r="V139" s="113">
        <v>0</v>
      </c>
      <c r="W139" s="113">
        <v>0</v>
      </c>
      <c r="X139" s="113">
        <v>0</v>
      </c>
      <c r="Y139" s="113">
        <v>0</v>
      </c>
      <c r="Z139" s="113">
        <v>0</v>
      </c>
      <c r="AA139" s="113">
        <v>0</v>
      </c>
      <c r="AB139" s="113">
        <v>0</v>
      </c>
    </row>
    <row r="140" spans="1:28" ht="17.25" customHeight="1" x14ac:dyDescent="0.25">
      <c r="D140" s="119"/>
      <c r="E140" s="119"/>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row>
    <row r="141" spans="1:28" ht="26.1" customHeight="1" x14ac:dyDescent="0.3">
      <c r="A141" s="93">
        <v>138</v>
      </c>
      <c r="B141" s="108"/>
      <c r="C141" s="110" t="s">
        <v>6</v>
      </c>
      <c r="D141" s="110"/>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row>
    <row r="142" spans="1:28" ht="18" customHeight="1" x14ac:dyDescent="0.25">
      <c r="A142" s="93">
        <v>139</v>
      </c>
      <c r="D142" s="112" t="s">
        <v>13</v>
      </c>
      <c r="E142" s="112" t="s">
        <v>35</v>
      </c>
      <c r="F142" s="113">
        <f>F143+F144+F148+F149</f>
        <v>-4.8306973482274547</v>
      </c>
      <c r="G142" s="113">
        <f t="shared" ref="G142:W142" si="168">G143+G144+G148+G149</f>
        <v>-253.98053646751924</v>
      </c>
      <c r="H142" s="113">
        <f t="shared" si="168"/>
        <v>20.643190208652669</v>
      </c>
      <c r="I142" s="113">
        <f t="shared" si="168"/>
        <v>-183.63307170487982</v>
      </c>
      <c r="J142" s="113">
        <f t="shared" si="168"/>
        <v>60.045181814557829</v>
      </c>
      <c r="K142" s="113">
        <f t="shared" si="168"/>
        <v>191.11569625445711</v>
      </c>
      <c r="L142" s="113">
        <f t="shared" si="168"/>
        <v>288.97668289311309</v>
      </c>
      <c r="M142" s="113">
        <f t="shared" si="168"/>
        <v>116.31002989947646</v>
      </c>
      <c r="N142" s="113">
        <f t="shared" si="168"/>
        <v>465.73019271092596</v>
      </c>
      <c r="O142" s="113">
        <f t="shared" si="168"/>
        <v>163.04066353180403</v>
      </c>
      <c r="P142" s="113">
        <f t="shared" si="168"/>
        <v>-285.6545540998236</v>
      </c>
      <c r="Q142" s="113">
        <f t="shared" si="168"/>
        <v>-38.895461088061182</v>
      </c>
      <c r="R142" s="113">
        <f t="shared" si="168"/>
        <v>237.34620416901242</v>
      </c>
      <c r="S142" s="113">
        <f t="shared" si="168"/>
        <v>142.02624805274581</v>
      </c>
      <c r="T142" s="113">
        <f t="shared" si="168"/>
        <v>531.13876538787827</v>
      </c>
      <c r="U142" s="113">
        <f t="shared" si="168"/>
        <v>158.63996589151969</v>
      </c>
      <c r="V142" s="113">
        <f t="shared" si="168"/>
        <v>-172.49194396939168</v>
      </c>
      <c r="W142" s="113">
        <f t="shared" si="168"/>
        <v>217.4201920518685</v>
      </c>
      <c r="X142" s="113">
        <f t="shared" ref="X142:Y142" si="169">X143+X144+X148+X149</f>
        <v>242.90313362870364</v>
      </c>
      <c r="Y142" s="113">
        <f t="shared" si="169"/>
        <v>157.30493265010315</v>
      </c>
      <c r="Z142" s="113">
        <f t="shared" ref="Z142:AA142" si="170">Z143+Z144+Z148+Z149</f>
        <v>112.31162511289746</v>
      </c>
      <c r="AA142" s="113">
        <f t="shared" si="170"/>
        <v>89.855204935106983</v>
      </c>
      <c r="AB142" s="113">
        <f t="shared" ref="AB142" si="171">AB143+AB144+AB148+AB149</f>
        <v>-7.8878203149519397</v>
      </c>
    </row>
    <row r="143" spans="1:28" x14ac:dyDescent="0.25">
      <c r="A143" s="93">
        <v>140</v>
      </c>
      <c r="D143" s="114" t="s">
        <v>14</v>
      </c>
      <c r="E143" s="114" t="s">
        <v>23</v>
      </c>
      <c r="F143" s="116">
        <v>64.821097477065081</v>
      </c>
      <c r="G143" s="116">
        <v>-71.720071200908194</v>
      </c>
      <c r="H143" s="116">
        <v>-80.836274108945517</v>
      </c>
      <c r="I143" s="116">
        <v>-67.36581693556198</v>
      </c>
      <c r="J143" s="116">
        <v>-7.824470558630372</v>
      </c>
      <c r="K143" s="116">
        <v>4.8936304252472098</v>
      </c>
      <c r="L143" s="116">
        <v>33.983579797016326</v>
      </c>
      <c r="M143" s="116">
        <v>-45.514938964263351</v>
      </c>
      <c r="N143" s="116">
        <v>70.771734010147398</v>
      </c>
      <c r="O143" s="116">
        <v>85.21906878679134</v>
      </c>
      <c r="P143" s="116">
        <v>-284.35146367801343</v>
      </c>
      <c r="Q143" s="116">
        <v>-46.531956757481851</v>
      </c>
      <c r="R143" s="116">
        <v>51.920511918224548</v>
      </c>
      <c r="S143" s="116">
        <v>72.330778242518164</v>
      </c>
      <c r="T143" s="116">
        <v>-31.014338050719566</v>
      </c>
      <c r="U143" s="116">
        <v>-0.72363355485103753</v>
      </c>
      <c r="V143" s="116">
        <v>17.233206571795527</v>
      </c>
      <c r="W143" s="116">
        <v>22.880715593424004</v>
      </c>
      <c r="X143" s="116">
        <v>-0.22435722609493292</v>
      </c>
      <c r="Y143" s="116">
        <v>-33.587846817571425</v>
      </c>
      <c r="Z143" s="116">
        <v>7.2601027485712635</v>
      </c>
      <c r="AA143" s="116">
        <v>-43.768646601643823</v>
      </c>
      <c r="AB143" s="116">
        <v>-68.924436686517296</v>
      </c>
    </row>
    <row r="144" spans="1:28" x14ac:dyDescent="0.25">
      <c r="A144" s="93">
        <v>141</v>
      </c>
      <c r="D144" s="114" t="s">
        <v>15</v>
      </c>
      <c r="E144" s="114" t="s">
        <v>0</v>
      </c>
      <c r="F144" s="116">
        <f>SUM(F145:F147)</f>
        <v>-77.771665481240262</v>
      </c>
      <c r="G144" s="116">
        <f t="shared" ref="G144:W144" si="172">SUM(G145:G147)</f>
        <v>-159.90517103730079</v>
      </c>
      <c r="H144" s="116">
        <f t="shared" si="172"/>
        <v>-61.304625631996878</v>
      </c>
      <c r="I144" s="116">
        <f t="shared" si="172"/>
        <v>42.394544286637739</v>
      </c>
      <c r="J144" s="116">
        <f t="shared" si="172"/>
        <v>4.7619861188832657E-2</v>
      </c>
      <c r="K144" s="116">
        <f t="shared" si="172"/>
        <v>213.6222370310791</v>
      </c>
      <c r="L144" s="116">
        <f t="shared" si="172"/>
        <v>121.18674886911654</v>
      </c>
      <c r="M144" s="116">
        <f t="shared" si="172"/>
        <v>134.92329245928772</v>
      </c>
      <c r="N144" s="116">
        <f t="shared" si="172"/>
        <v>406.79248026048617</v>
      </c>
      <c r="O144" s="116">
        <f t="shared" si="172"/>
        <v>95.167060755908551</v>
      </c>
      <c r="P144" s="116">
        <f t="shared" si="172"/>
        <v>-9.3430522909251756</v>
      </c>
      <c r="Q144" s="116">
        <f t="shared" si="172"/>
        <v>13.525266861832744</v>
      </c>
      <c r="R144" s="116">
        <f t="shared" si="172"/>
        <v>165.28105915659259</v>
      </c>
      <c r="S144" s="116">
        <f t="shared" si="172"/>
        <v>101.88853557263967</v>
      </c>
      <c r="T144" s="116">
        <f t="shared" si="172"/>
        <v>585.963218959556</v>
      </c>
      <c r="U144" s="116">
        <f t="shared" si="172"/>
        <v>147.12492681167089</v>
      </c>
      <c r="V144" s="116">
        <f t="shared" si="172"/>
        <v>-168.72722290020226</v>
      </c>
      <c r="W144" s="116">
        <f t="shared" si="172"/>
        <v>197.47997410701294</v>
      </c>
      <c r="X144" s="116">
        <f t="shared" ref="X144:Y144" si="173">SUM(X145:X147)</f>
        <v>245.52996419136505</v>
      </c>
      <c r="Y144" s="116">
        <f t="shared" si="173"/>
        <v>180.09624567415668</v>
      </c>
      <c r="Z144" s="116">
        <f t="shared" ref="Z144:AA144" si="174">SUM(Z145:Z147)</f>
        <v>105.93839145791799</v>
      </c>
      <c r="AA144" s="116">
        <f t="shared" si="174"/>
        <v>133.17887492298246</v>
      </c>
      <c r="AB144" s="116">
        <f t="shared" ref="AB144" si="175">SUM(AB145:AB147)</f>
        <v>46.966419855534213</v>
      </c>
    </row>
    <row r="145" spans="1:28" x14ac:dyDescent="0.25">
      <c r="A145" s="93">
        <v>142</v>
      </c>
      <c r="D145" s="117" t="s">
        <v>26</v>
      </c>
      <c r="E145" s="117" t="s">
        <v>25</v>
      </c>
      <c r="F145" s="118">
        <v>-77.771665481240262</v>
      </c>
      <c r="G145" s="118">
        <v>-159.90517103730079</v>
      </c>
      <c r="H145" s="118">
        <v>-61.304625631996878</v>
      </c>
      <c r="I145" s="118">
        <v>42.394544286637739</v>
      </c>
      <c r="J145" s="118">
        <v>4.7619861188832657E-2</v>
      </c>
      <c r="K145" s="118">
        <v>213.6222370310791</v>
      </c>
      <c r="L145" s="118">
        <v>121.18674886911654</v>
      </c>
      <c r="M145" s="118">
        <v>134.92329245928772</v>
      </c>
      <c r="N145" s="118">
        <v>406.79248026048617</v>
      </c>
      <c r="O145" s="118">
        <v>95.167060755908551</v>
      </c>
      <c r="P145" s="118">
        <v>-9.3430522909251756</v>
      </c>
      <c r="Q145" s="118">
        <v>13.525266861832744</v>
      </c>
      <c r="R145" s="118">
        <v>165.28105915659259</v>
      </c>
      <c r="S145" s="118">
        <v>101.88853557263967</v>
      </c>
      <c r="T145" s="118">
        <v>585.963218959556</v>
      </c>
      <c r="U145" s="118">
        <v>147.12492681167089</v>
      </c>
      <c r="V145" s="118">
        <v>-168.72722290020226</v>
      </c>
      <c r="W145" s="118">
        <v>197.47997410701294</v>
      </c>
      <c r="X145" s="118">
        <v>245.52996419136505</v>
      </c>
      <c r="Y145" s="118">
        <v>180.09624567415668</v>
      </c>
      <c r="Z145" s="118">
        <v>105.93839145791799</v>
      </c>
      <c r="AA145" s="118">
        <v>133.17887492298246</v>
      </c>
      <c r="AB145" s="118">
        <v>46.966419855534213</v>
      </c>
    </row>
    <row r="146" spans="1:28" x14ac:dyDescent="0.25">
      <c r="A146" s="93">
        <v>143</v>
      </c>
      <c r="D146" s="117" t="s">
        <v>16</v>
      </c>
      <c r="E146" s="117" t="s">
        <v>27</v>
      </c>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row>
    <row r="147" spans="1:28" x14ac:dyDescent="0.25">
      <c r="A147" s="93">
        <v>144</v>
      </c>
      <c r="D147" s="117" t="s">
        <v>17</v>
      </c>
      <c r="E147" s="117" t="s">
        <v>28</v>
      </c>
      <c r="F147" s="118">
        <v>0</v>
      </c>
      <c r="G147" s="118">
        <v>0</v>
      </c>
      <c r="H147" s="118">
        <v>0</v>
      </c>
      <c r="I147" s="118">
        <v>0</v>
      </c>
      <c r="J147" s="118">
        <v>0</v>
      </c>
      <c r="K147" s="118">
        <v>0</v>
      </c>
      <c r="L147" s="118">
        <v>0</v>
      </c>
      <c r="M147" s="118">
        <v>0</v>
      </c>
      <c r="N147" s="118">
        <v>0</v>
      </c>
      <c r="O147" s="118">
        <v>0</v>
      </c>
      <c r="P147" s="118">
        <v>0</v>
      </c>
      <c r="Q147" s="118">
        <v>0</v>
      </c>
      <c r="R147" s="118">
        <v>0</v>
      </c>
      <c r="S147" s="118">
        <v>0</v>
      </c>
      <c r="T147" s="118">
        <v>0</v>
      </c>
      <c r="U147" s="118">
        <v>0</v>
      </c>
      <c r="V147" s="118">
        <v>0</v>
      </c>
      <c r="W147" s="118">
        <v>0</v>
      </c>
      <c r="X147" s="118">
        <v>0</v>
      </c>
      <c r="Y147" s="118">
        <v>0</v>
      </c>
      <c r="Z147" s="118">
        <v>0</v>
      </c>
      <c r="AA147" s="118">
        <v>0</v>
      </c>
      <c r="AB147" s="118">
        <v>0</v>
      </c>
    </row>
    <row r="148" spans="1:28" x14ac:dyDescent="0.25">
      <c r="A148" s="93">
        <v>145</v>
      </c>
      <c r="D148" s="114" t="s">
        <v>1</v>
      </c>
      <c r="E148" s="114" t="s">
        <v>29</v>
      </c>
      <c r="F148" s="116">
        <v>0</v>
      </c>
      <c r="G148" s="116">
        <v>0</v>
      </c>
      <c r="H148" s="116">
        <v>0</v>
      </c>
      <c r="I148" s="116">
        <v>0</v>
      </c>
      <c r="J148" s="116">
        <v>0</v>
      </c>
      <c r="K148" s="116">
        <v>0</v>
      </c>
      <c r="L148" s="116">
        <v>0</v>
      </c>
      <c r="M148" s="116">
        <v>0</v>
      </c>
      <c r="N148" s="116">
        <v>0</v>
      </c>
      <c r="O148" s="116">
        <v>0</v>
      </c>
      <c r="P148" s="116">
        <v>0.493006</v>
      </c>
      <c r="Q148" s="116">
        <v>-0.493006</v>
      </c>
      <c r="R148" s="116">
        <v>0</v>
      </c>
      <c r="S148" s="116">
        <v>3.5</v>
      </c>
      <c r="T148" s="116">
        <v>-3.5</v>
      </c>
      <c r="U148" s="116">
        <v>4.0930999999999997</v>
      </c>
      <c r="V148" s="116">
        <v>-4.0930999999999997</v>
      </c>
      <c r="W148" s="116">
        <v>0</v>
      </c>
      <c r="X148" s="116">
        <v>0</v>
      </c>
      <c r="Y148" s="116">
        <v>0</v>
      </c>
      <c r="Z148" s="116">
        <v>0</v>
      </c>
      <c r="AA148" s="116">
        <v>0</v>
      </c>
      <c r="AB148" s="116">
        <v>0</v>
      </c>
    </row>
    <row r="149" spans="1:28" x14ac:dyDescent="0.25">
      <c r="A149" s="93">
        <v>146</v>
      </c>
      <c r="D149" s="114" t="s">
        <v>30</v>
      </c>
      <c r="E149" s="114" t="s">
        <v>31</v>
      </c>
      <c r="F149" s="116">
        <v>8.1198706559477269</v>
      </c>
      <c r="G149" s="116">
        <v>-22.35529422931026</v>
      </c>
      <c r="H149" s="116">
        <v>162.78408994959506</v>
      </c>
      <c r="I149" s="116">
        <v>-158.66179905595558</v>
      </c>
      <c r="J149" s="116">
        <v>67.822032511999367</v>
      </c>
      <c r="K149" s="116">
        <v>-27.400171201869195</v>
      </c>
      <c r="L149" s="116">
        <v>133.80635422698026</v>
      </c>
      <c r="M149" s="116">
        <v>26.901676404452083</v>
      </c>
      <c r="N149" s="116">
        <v>-11.83402155970759</v>
      </c>
      <c r="O149" s="116">
        <v>-17.345466010895876</v>
      </c>
      <c r="P149" s="116">
        <v>7.5469558691150578</v>
      </c>
      <c r="Q149" s="116">
        <v>-5.3957651924120817</v>
      </c>
      <c r="R149" s="116">
        <v>20.144633094195278</v>
      </c>
      <c r="S149" s="116">
        <v>-35.693065762412019</v>
      </c>
      <c r="T149" s="116">
        <v>-20.310115520958277</v>
      </c>
      <c r="U149" s="116">
        <v>8.1455726346998585</v>
      </c>
      <c r="V149" s="116">
        <v>-16.904827640984962</v>
      </c>
      <c r="W149" s="116">
        <v>-2.9404976485684635</v>
      </c>
      <c r="X149" s="116">
        <v>-2.4024733365665014</v>
      </c>
      <c r="Y149" s="116">
        <v>10.796533793517922</v>
      </c>
      <c r="Z149" s="116">
        <v>-0.88686909359177823</v>
      </c>
      <c r="AA149" s="116">
        <v>0.44497661376834152</v>
      </c>
      <c r="AB149" s="116">
        <v>14.070196516031144</v>
      </c>
    </row>
    <row r="150" spans="1:28" ht="15.75" x14ac:dyDescent="0.25">
      <c r="A150" s="93">
        <v>147</v>
      </c>
      <c r="D150" s="112" t="s">
        <v>19</v>
      </c>
      <c r="E150" s="112" t="s">
        <v>22</v>
      </c>
      <c r="F150" s="113">
        <v>414.09978628632393</v>
      </c>
      <c r="G150" s="113">
        <v>-329.64248198894046</v>
      </c>
      <c r="H150" s="113">
        <v>877.4454850212154</v>
      </c>
      <c r="I150" s="113">
        <v>67.289609681654582</v>
      </c>
      <c r="J150" s="113">
        <v>-43.947160060427713</v>
      </c>
      <c r="K150" s="113">
        <v>193.49076931327102</v>
      </c>
      <c r="L150" s="113">
        <v>35.926657083253076</v>
      </c>
      <c r="M150" s="113">
        <v>355.59128494199769</v>
      </c>
      <c r="N150" s="113">
        <v>-143.37280405562404</v>
      </c>
      <c r="O150" s="113">
        <v>448.37903964001731</v>
      </c>
      <c r="P150" s="113">
        <v>109.17883878392465</v>
      </c>
      <c r="Q150" s="113">
        <v>516.11952135958938</v>
      </c>
      <c r="R150" s="113">
        <v>-444.49196645968107</v>
      </c>
      <c r="S150" s="113">
        <v>173.72002116958947</v>
      </c>
      <c r="T150" s="113">
        <v>-84.70975457739317</v>
      </c>
      <c r="U150" s="113">
        <v>-91.571196791266175</v>
      </c>
      <c r="V150" s="113">
        <v>188.52531358369922</v>
      </c>
      <c r="W150" s="113">
        <v>15.027102097938354</v>
      </c>
      <c r="X150" s="113">
        <v>-2.8672697557086337</v>
      </c>
      <c r="Y150" s="113">
        <v>101.15645926693429</v>
      </c>
      <c r="Z150" s="113">
        <v>110.04659519238184</v>
      </c>
      <c r="AA150" s="113">
        <v>760.2070726624172</v>
      </c>
      <c r="AB150" s="113">
        <v>685.39644186261694</v>
      </c>
    </row>
    <row r="151" spans="1:28" ht="9" customHeight="1" x14ac:dyDescent="0.25">
      <c r="A151" s="93">
        <v>148</v>
      </c>
      <c r="D151" s="119"/>
      <c r="E151" s="119"/>
      <c r="F151" s="120">
        <v>0</v>
      </c>
      <c r="G151" s="120">
        <v>0</v>
      </c>
      <c r="H151" s="120">
        <v>0</v>
      </c>
      <c r="I151" s="120">
        <v>0</v>
      </c>
      <c r="J151" s="120">
        <v>0</v>
      </c>
      <c r="K151" s="120">
        <v>0</v>
      </c>
      <c r="L151" s="120">
        <v>0</v>
      </c>
      <c r="M151" s="120">
        <v>0</v>
      </c>
      <c r="N151" s="120">
        <v>0</v>
      </c>
      <c r="O151" s="120">
        <v>0</v>
      </c>
      <c r="P151" s="120">
        <v>0</v>
      </c>
      <c r="Q151" s="120">
        <v>0</v>
      </c>
      <c r="R151" s="120">
        <v>0</v>
      </c>
      <c r="S151" s="120">
        <v>0</v>
      </c>
      <c r="T151" s="120">
        <v>0</v>
      </c>
      <c r="U151" s="120">
        <v>0</v>
      </c>
      <c r="V151" s="120">
        <v>0</v>
      </c>
      <c r="W151" s="120">
        <v>0</v>
      </c>
      <c r="X151" s="120">
        <v>0</v>
      </c>
      <c r="Y151" s="120">
        <v>0</v>
      </c>
      <c r="Z151" s="120">
        <v>0</v>
      </c>
      <c r="AA151" s="120">
        <v>0</v>
      </c>
      <c r="AB151" s="120">
        <v>0</v>
      </c>
    </row>
    <row r="152" spans="1:28" ht="26.1" customHeight="1" x14ac:dyDescent="0.3">
      <c r="A152" s="93">
        <v>149</v>
      </c>
      <c r="B152" s="108"/>
      <c r="C152" s="110" t="s">
        <v>24</v>
      </c>
      <c r="D152" s="110"/>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row>
    <row r="153" spans="1:28" ht="18" customHeight="1" x14ac:dyDescent="0.25">
      <c r="A153" s="93">
        <v>150</v>
      </c>
      <c r="D153" s="112" t="s">
        <v>13</v>
      </c>
      <c r="E153" s="112" t="s">
        <v>35</v>
      </c>
      <c r="F153" s="113">
        <f>F154+F155+F159+F160</f>
        <v>-48.02348725027116</v>
      </c>
      <c r="G153" s="113">
        <f t="shared" ref="G153:W153" si="176">G154+G155+G159+G160</f>
        <v>72.938087366632217</v>
      </c>
      <c r="H153" s="113">
        <f t="shared" si="176"/>
        <v>-4.7979917614240657</v>
      </c>
      <c r="I153" s="113">
        <f t="shared" si="176"/>
        <v>86.276068018832206</v>
      </c>
      <c r="J153" s="113">
        <f t="shared" si="176"/>
        <v>-41.449873072204909</v>
      </c>
      <c r="K153" s="113">
        <f t="shared" si="176"/>
        <v>-97.157712539197874</v>
      </c>
      <c r="L153" s="113">
        <f t="shared" si="176"/>
        <v>-115.91695728631038</v>
      </c>
      <c r="M153" s="113">
        <f t="shared" si="176"/>
        <v>-119.19656045301704</v>
      </c>
      <c r="N153" s="113">
        <f t="shared" si="176"/>
        <v>-189.66185913741666</v>
      </c>
      <c r="O153" s="113">
        <f t="shared" si="176"/>
        <v>-263.39713937635673</v>
      </c>
      <c r="P153" s="113">
        <f t="shared" si="176"/>
        <v>-112.17194835774686</v>
      </c>
      <c r="Q153" s="113">
        <f t="shared" si="176"/>
        <v>-180.61357918619584</v>
      </c>
      <c r="R153" s="113">
        <f t="shared" si="176"/>
        <v>-126.86785475020136</v>
      </c>
      <c r="S153" s="113">
        <f t="shared" si="176"/>
        <v>-76.225974078081109</v>
      </c>
      <c r="T153" s="113">
        <f t="shared" si="176"/>
        <v>-157.7177335500823</v>
      </c>
      <c r="U153" s="113">
        <f t="shared" si="176"/>
        <v>-30.401245702239237</v>
      </c>
      <c r="V153" s="113">
        <f t="shared" si="176"/>
        <v>-52.199763917778796</v>
      </c>
      <c r="W153" s="113">
        <f t="shared" si="176"/>
        <v>-98.350995927718586</v>
      </c>
      <c r="X153" s="113">
        <f t="shared" ref="X153:Y153" si="177">X154+X155+X159+X160</f>
        <v>-238.15845602360884</v>
      </c>
      <c r="Y153" s="113">
        <f t="shared" si="177"/>
        <v>-204.95770449874522</v>
      </c>
      <c r="Z153" s="113">
        <f t="shared" ref="Z153:AA153" si="178">Z154+Z155+Z159+Z160</f>
        <v>-135.9497634339987</v>
      </c>
      <c r="AA153" s="113">
        <f t="shared" si="178"/>
        <v>-131.3804466721233</v>
      </c>
      <c r="AB153" s="113">
        <f t="shared" ref="AB153" si="179">AB154+AB155+AB159+AB160</f>
        <v>-149.99712666789674</v>
      </c>
    </row>
    <row r="154" spans="1:28" x14ac:dyDescent="0.25">
      <c r="A154" s="93">
        <v>151</v>
      </c>
      <c r="D154" s="114" t="s">
        <v>14</v>
      </c>
      <c r="E154" s="114" t="s">
        <v>23</v>
      </c>
      <c r="F154" s="118">
        <v>5.9715521147388273</v>
      </c>
      <c r="G154" s="118">
        <v>12.034136659841899</v>
      </c>
      <c r="H154" s="118">
        <v>5.0753657913253249</v>
      </c>
      <c r="I154" s="118">
        <v>21.729702477256339</v>
      </c>
      <c r="J154" s="118">
        <v>2.0079950334042564</v>
      </c>
      <c r="K154" s="118">
        <v>4.5869352224000295</v>
      </c>
      <c r="L154" s="118">
        <v>3.8175112074237205</v>
      </c>
      <c r="M154" s="118">
        <v>1.0286910276631289</v>
      </c>
      <c r="N154" s="118">
        <v>-3.9041306655196024</v>
      </c>
      <c r="O154" s="118">
        <v>-4.2948175834889923</v>
      </c>
      <c r="P154" s="118">
        <v>5.2604155687004521</v>
      </c>
      <c r="Q154" s="118">
        <v>4.0003417682141844</v>
      </c>
      <c r="R154" s="118">
        <v>-4.0607194012411298</v>
      </c>
      <c r="S154" s="118">
        <v>-0.30189485154394902</v>
      </c>
      <c r="T154" s="118">
        <v>-1.0195258712169277</v>
      </c>
      <c r="U154" s="118">
        <v>-3.3336329303508734</v>
      </c>
      <c r="V154" s="118">
        <v>5.1538578667858133</v>
      </c>
      <c r="W154" s="118">
        <v>-4.4373674856504977</v>
      </c>
      <c r="X154" s="118">
        <v>-6.357480606650455</v>
      </c>
      <c r="Y154" s="118">
        <v>-3.2261356254238791</v>
      </c>
      <c r="Z154" s="118">
        <v>0.10204836107199355</v>
      </c>
      <c r="AA154" s="118">
        <v>-8.1627503583376892E-3</v>
      </c>
      <c r="AB154" s="118">
        <v>-1.9809632128921777</v>
      </c>
    </row>
    <row r="155" spans="1:28" x14ac:dyDescent="0.25">
      <c r="A155" s="93">
        <v>152</v>
      </c>
      <c r="D155" s="114" t="s">
        <v>15</v>
      </c>
      <c r="E155" s="114" t="s">
        <v>0</v>
      </c>
      <c r="F155" s="116">
        <f>SUM(F156:F158)</f>
        <v>5.9103742400803618</v>
      </c>
      <c r="G155" s="116">
        <f t="shared" ref="G155:W155" si="180">SUM(G156:G158)</f>
        <v>-0.77848529093910446</v>
      </c>
      <c r="H155" s="116">
        <f t="shared" si="180"/>
        <v>-0.36725767604263487</v>
      </c>
      <c r="I155" s="116">
        <f t="shared" si="180"/>
        <v>17.528373679794903</v>
      </c>
      <c r="J155" s="116">
        <f t="shared" si="180"/>
        <v>0.83458372562233474</v>
      </c>
      <c r="K155" s="116">
        <f t="shared" si="180"/>
        <v>14.588123359500955</v>
      </c>
      <c r="L155" s="116">
        <f t="shared" si="180"/>
        <v>2.4749030679547328</v>
      </c>
      <c r="M155" s="116">
        <f t="shared" si="180"/>
        <v>-127.6266530340426</v>
      </c>
      <c r="N155" s="116">
        <f t="shared" si="180"/>
        <v>0</v>
      </c>
      <c r="O155" s="116">
        <f t="shared" si="180"/>
        <v>-2.3467450016579829</v>
      </c>
      <c r="P155" s="116">
        <f t="shared" si="180"/>
        <v>-1.3762209785490152</v>
      </c>
      <c r="Q155" s="116">
        <f t="shared" si="180"/>
        <v>7.7390490072379325</v>
      </c>
      <c r="R155" s="116">
        <f t="shared" si="180"/>
        <v>-3.2543149774864992</v>
      </c>
      <c r="S155" s="116">
        <f t="shared" si="180"/>
        <v>0.47237096714899107</v>
      </c>
      <c r="T155" s="116">
        <f t="shared" si="180"/>
        <v>-0.13861001585151644</v>
      </c>
      <c r="U155" s="116">
        <f t="shared" si="180"/>
        <v>0.5403590345893301</v>
      </c>
      <c r="V155" s="116">
        <f t="shared" si="180"/>
        <v>-6.9260609681895291E-2</v>
      </c>
      <c r="W155" s="116">
        <f t="shared" si="180"/>
        <v>3.7370573362038736E-2</v>
      </c>
      <c r="X155" s="116">
        <f t="shared" ref="X155:Y155" si="181">SUM(X156:X158)</f>
        <v>1.3616224980880327</v>
      </c>
      <c r="Y155" s="116">
        <f t="shared" si="181"/>
        <v>0.46039200000000002</v>
      </c>
      <c r="Z155" s="116">
        <f t="shared" ref="Z155:AA155" si="182">SUM(Z156:Z158)</f>
        <v>-2.1813093979211264</v>
      </c>
      <c r="AA155" s="116">
        <f t="shared" si="182"/>
        <v>1.6482720022355988</v>
      </c>
      <c r="AB155" s="116">
        <f t="shared" ref="AB155" si="183">SUM(AB156:AB158)</f>
        <v>1.221912539568784</v>
      </c>
    </row>
    <row r="156" spans="1:28" x14ac:dyDescent="0.25">
      <c r="A156" s="93">
        <v>153</v>
      </c>
      <c r="D156" s="117" t="s">
        <v>26</v>
      </c>
      <c r="E156" s="117" t="s">
        <v>25</v>
      </c>
      <c r="F156" s="118">
        <v>5.9103742400803618</v>
      </c>
      <c r="G156" s="118">
        <v>-0.77848529093910446</v>
      </c>
      <c r="H156" s="118">
        <v>-0.36725767604263487</v>
      </c>
      <c r="I156" s="118">
        <v>17.528373679794903</v>
      </c>
      <c r="J156" s="118">
        <v>0.83458372562233474</v>
      </c>
      <c r="K156" s="118">
        <v>14.588123359500955</v>
      </c>
      <c r="L156" s="118">
        <v>2.4749030679547328</v>
      </c>
      <c r="M156" s="118">
        <v>-127.6266530340426</v>
      </c>
      <c r="N156" s="118">
        <v>0</v>
      </c>
      <c r="O156" s="118">
        <v>-2.3467450016579829</v>
      </c>
      <c r="P156" s="118">
        <v>-1.3762209785490152</v>
      </c>
      <c r="Q156" s="118">
        <v>7.7390490072379325</v>
      </c>
      <c r="R156" s="118">
        <v>-3.2543149774864992</v>
      </c>
      <c r="S156" s="118">
        <v>0.47237096714899107</v>
      </c>
      <c r="T156" s="118">
        <v>-0.13861001585151644</v>
      </c>
      <c r="U156" s="118">
        <v>0.5403590345893301</v>
      </c>
      <c r="V156" s="118">
        <v>-6.9260609681895291E-2</v>
      </c>
      <c r="W156" s="118">
        <v>3.7370573362038736E-2</v>
      </c>
      <c r="X156" s="118">
        <v>1.3616224980880327</v>
      </c>
      <c r="Y156" s="118">
        <v>0.46039200000000002</v>
      </c>
      <c r="Z156" s="118">
        <v>-2.1813093979211264</v>
      </c>
      <c r="AA156" s="118">
        <v>1.6482720022355988</v>
      </c>
      <c r="AB156" s="118">
        <v>1.221912539568784</v>
      </c>
    </row>
    <row r="157" spans="1:28" x14ac:dyDescent="0.25">
      <c r="A157" s="93">
        <v>154</v>
      </c>
      <c r="D157" s="117" t="s">
        <v>16</v>
      </c>
      <c r="E157" s="117" t="s">
        <v>27</v>
      </c>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row>
    <row r="158" spans="1:28" x14ac:dyDescent="0.25">
      <c r="A158" s="93">
        <v>155</v>
      </c>
      <c r="D158" s="117" t="s">
        <v>17</v>
      </c>
      <c r="E158" s="117" t="s">
        <v>28</v>
      </c>
      <c r="F158" s="118">
        <v>0</v>
      </c>
      <c r="G158" s="118">
        <v>0</v>
      </c>
      <c r="H158" s="118">
        <v>0</v>
      </c>
      <c r="I158" s="118">
        <v>0</v>
      </c>
      <c r="J158" s="118">
        <v>0</v>
      </c>
      <c r="K158" s="118">
        <v>0</v>
      </c>
      <c r="L158" s="118">
        <v>0</v>
      </c>
      <c r="M158" s="118">
        <v>0</v>
      </c>
      <c r="N158" s="118">
        <v>0</v>
      </c>
      <c r="O158" s="118">
        <v>0</v>
      </c>
      <c r="P158" s="118">
        <v>0</v>
      </c>
      <c r="Q158" s="118">
        <v>0</v>
      </c>
      <c r="R158" s="118">
        <v>0</v>
      </c>
      <c r="S158" s="118">
        <v>0</v>
      </c>
      <c r="T158" s="118">
        <v>0</v>
      </c>
      <c r="U158" s="118">
        <v>0</v>
      </c>
      <c r="V158" s="118">
        <v>0</v>
      </c>
      <c r="W158" s="118">
        <v>0</v>
      </c>
      <c r="X158" s="118">
        <v>0</v>
      </c>
      <c r="Y158" s="118">
        <v>0</v>
      </c>
      <c r="Z158" s="118">
        <v>0</v>
      </c>
      <c r="AA158" s="118">
        <v>0</v>
      </c>
      <c r="AB158" s="118">
        <v>0</v>
      </c>
    </row>
    <row r="159" spans="1:28" x14ac:dyDescent="0.25">
      <c r="A159" s="93">
        <v>156</v>
      </c>
      <c r="D159" s="114" t="s">
        <v>1</v>
      </c>
      <c r="E159" s="114" t="s">
        <v>29</v>
      </c>
      <c r="F159" s="116">
        <v>0</v>
      </c>
      <c r="G159" s="116">
        <v>0</v>
      </c>
      <c r="H159" s="116">
        <v>0</v>
      </c>
      <c r="I159" s="116">
        <v>0</v>
      </c>
      <c r="J159" s="116">
        <v>0</v>
      </c>
      <c r="K159" s="116">
        <v>0</v>
      </c>
      <c r="L159" s="116">
        <v>0</v>
      </c>
      <c r="M159" s="116">
        <v>0</v>
      </c>
      <c r="N159" s="116">
        <v>0</v>
      </c>
      <c r="O159" s="116">
        <v>0</v>
      </c>
      <c r="P159" s="116">
        <v>0</v>
      </c>
      <c r="Q159" s="116">
        <v>0</v>
      </c>
      <c r="R159" s="116">
        <v>0</v>
      </c>
      <c r="S159" s="116">
        <v>0</v>
      </c>
      <c r="T159" s="116">
        <v>0</v>
      </c>
      <c r="U159" s="116">
        <v>0</v>
      </c>
      <c r="V159" s="116">
        <v>0</v>
      </c>
      <c r="W159" s="116">
        <v>0</v>
      </c>
      <c r="X159" s="116">
        <v>0</v>
      </c>
      <c r="Y159" s="116">
        <v>0</v>
      </c>
      <c r="Z159" s="116">
        <v>0</v>
      </c>
      <c r="AA159" s="116">
        <v>0</v>
      </c>
      <c r="AB159" s="116">
        <v>0</v>
      </c>
    </row>
    <row r="160" spans="1:28" x14ac:dyDescent="0.25">
      <c r="A160" s="93">
        <v>157</v>
      </c>
      <c r="D160" s="114" t="s">
        <v>30</v>
      </c>
      <c r="E160" s="114" t="s">
        <v>31</v>
      </c>
      <c r="F160" s="116">
        <v>-59.905413605090345</v>
      </c>
      <c r="G160" s="116">
        <v>61.682435997729428</v>
      </c>
      <c r="H160" s="116">
        <v>-9.5060998767067559</v>
      </c>
      <c r="I160" s="116">
        <v>47.01799186178097</v>
      </c>
      <c r="J160" s="116">
        <v>-44.292451831231503</v>
      </c>
      <c r="K160" s="116">
        <v>-116.33277112109886</v>
      </c>
      <c r="L160" s="116">
        <v>-122.20937156168883</v>
      </c>
      <c r="M160" s="116">
        <v>7.4014015533624331</v>
      </c>
      <c r="N160" s="116">
        <v>-185.75772847189705</v>
      </c>
      <c r="O160" s="116">
        <v>-256.75557679120976</v>
      </c>
      <c r="P160" s="116">
        <v>-116.05614294789829</v>
      </c>
      <c r="Q160" s="116">
        <v>-192.35296996164794</v>
      </c>
      <c r="R160" s="116">
        <v>-119.55282037147373</v>
      </c>
      <c r="S160" s="116">
        <v>-76.39645019368615</v>
      </c>
      <c r="T160" s="116">
        <v>-156.55959766301385</v>
      </c>
      <c r="U160" s="116">
        <v>-27.607971806477693</v>
      </c>
      <c r="V160" s="116">
        <v>-57.284361174882712</v>
      </c>
      <c r="W160" s="116">
        <v>-93.950999015430128</v>
      </c>
      <c r="X160" s="116">
        <v>-233.1625979150464</v>
      </c>
      <c r="Y160" s="116">
        <v>-202.19196087332134</v>
      </c>
      <c r="Z160" s="116">
        <v>-133.87050239714955</v>
      </c>
      <c r="AA160" s="116">
        <v>-133.02055592400055</v>
      </c>
      <c r="AB160" s="116">
        <v>-149.23807599457334</v>
      </c>
    </row>
    <row r="161" spans="1:28" ht="15.75" x14ac:dyDescent="0.25">
      <c r="A161" s="93">
        <v>158</v>
      </c>
      <c r="D161" s="112" t="s">
        <v>19</v>
      </c>
      <c r="E161" s="112" t="s">
        <v>22</v>
      </c>
      <c r="F161" s="113">
        <v>64.795790857380794</v>
      </c>
      <c r="G161" s="113">
        <v>2.4233228933319726</v>
      </c>
      <c r="H161" s="113">
        <v>9.7013140297841023</v>
      </c>
      <c r="I161" s="113">
        <v>109.59945674989798</v>
      </c>
      <c r="J161" s="113">
        <v>53.332791645720327</v>
      </c>
      <c r="K161" s="113">
        <v>107.5341138825721</v>
      </c>
      <c r="L161" s="113">
        <v>134.61949961672275</v>
      </c>
      <c r="M161" s="113">
        <v>129.35228275124462</v>
      </c>
      <c r="N161" s="113">
        <v>190.88745902606686</v>
      </c>
      <c r="O161" s="113">
        <v>216.82224870647414</v>
      </c>
      <c r="P161" s="113">
        <v>120.27508415234627</v>
      </c>
      <c r="Q161" s="113">
        <v>149.13973813619589</v>
      </c>
      <c r="R161" s="113">
        <v>107.94265444743318</v>
      </c>
      <c r="S161" s="113">
        <v>39.946000098081164</v>
      </c>
      <c r="T161" s="113">
        <v>155.92027166046094</v>
      </c>
      <c r="U161" s="113">
        <v>27.686423154302091</v>
      </c>
      <c r="V161" s="113">
        <v>47.42487891777904</v>
      </c>
      <c r="W161" s="113">
        <v>88.424253927718482</v>
      </c>
      <c r="X161" s="113">
        <v>195.51450802360878</v>
      </c>
      <c r="Y161" s="113">
        <v>215.16548288490441</v>
      </c>
      <c r="Z161" s="113">
        <v>125.71010972372032</v>
      </c>
      <c r="AA161" s="113">
        <v>136.13290337768294</v>
      </c>
      <c r="AB161" s="113">
        <v>149.60866458056219</v>
      </c>
    </row>
    <row r="162" spans="1:28" ht="9" customHeight="1" x14ac:dyDescent="0.25">
      <c r="D162" s="119"/>
      <c r="E162" s="119"/>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row>
    <row r="163" spans="1:28" ht="35.1" customHeight="1" x14ac:dyDescent="0.3">
      <c r="A163" s="93">
        <v>160</v>
      </c>
      <c r="B163" s="107" t="s">
        <v>60</v>
      </c>
      <c r="C163" s="108"/>
      <c r="D163" s="108"/>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row>
    <row r="164" spans="1:28" ht="26.1" customHeight="1" x14ac:dyDescent="0.3">
      <c r="A164" s="93">
        <v>161</v>
      </c>
      <c r="B164" s="108"/>
      <c r="C164" s="110" t="s">
        <v>11</v>
      </c>
      <c r="D164" s="110"/>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c r="AB164" s="111"/>
    </row>
    <row r="165" spans="1:28" ht="18" customHeight="1" x14ac:dyDescent="0.25">
      <c r="A165" s="93">
        <v>162</v>
      </c>
      <c r="D165" s="112" t="s">
        <v>13</v>
      </c>
      <c r="E165" s="112" t="s">
        <v>35</v>
      </c>
      <c r="F165" s="113">
        <f>F166+F167+F171+F172</f>
        <v>0</v>
      </c>
      <c r="G165" s="113">
        <f t="shared" ref="G165:W165" si="184">G166+G167+G171+G172</f>
        <v>0</v>
      </c>
      <c r="H165" s="113">
        <f t="shared" si="184"/>
        <v>0</v>
      </c>
      <c r="I165" s="113">
        <f t="shared" si="184"/>
        <v>0</v>
      </c>
      <c r="J165" s="113">
        <f t="shared" si="184"/>
        <v>0</v>
      </c>
      <c r="K165" s="113">
        <f t="shared" si="184"/>
        <v>0</v>
      </c>
      <c r="L165" s="113">
        <f t="shared" si="184"/>
        <v>0</v>
      </c>
      <c r="M165" s="113">
        <f t="shared" si="184"/>
        <v>0</v>
      </c>
      <c r="N165" s="113">
        <f t="shared" si="184"/>
        <v>0</v>
      </c>
      <c r="O165" s="113">
        <f t="shared" si="184"/>
        <v>0</v>
      </c>
      <c r="P165" s="113">
        <f t="shared" si="184"/>
        <v>0</v>
      </c>
      <c r="Q165" s="113">
        <f t="shared" si="184"/>
        <v>0</v>
      </c>
      <c r="R165" s="113">
        <f t="shared" si="184"/>
        <v>0</v>
      </c>
      <c r="S165" s="113">
        <f t="shared" si="184"/>
        <v>0</v>
      </c>
      <c r="T165" s="113">
        <f t="shared" si="184"/>
        <v>0</v>
      </c>
      <c r="U165" s="113">
        <f t="shared" si="184"/>
        <v>0</v>
      </c>
      <c r="V165" s="113">
        <f t="shared" si="184"/>
        <v>0</v>
      </c>
      <c r="W165" s="113">
        <f t="shared" si="184"/>
        <v>0</v>
      </c>
      <c r="X165" s="113">
        <f t="shared" ref="X165:Y165" si="185">X166+X167+X171+X172</f>
        <v>0</v>
      </c>
      <c r="Y165" s="113">
        <f t="shared" si="185"/>
        <v>0</v>
      </c>
      <c r="Z165" s="113">
        <f t="shared" ref="Z165:AA165" si="186">Z166+Z167+Z171+Z172</f>
        <v>0</v>
      </c>
      <c r="AA165" s="113">
        <f t="shared" si="186"/>
        <v>0</v>
      </c>
      <c r="AB165" s="113">
        <f t="shared" ref="AB165" si="187">AB166+AB167+AB171+AB172</f>
        <v>0</v>
      </c>
    </row>
    <row r="166" spans="1:28" x14ac:dyDescent="0.25">
      <c r="A166" s="93">
        <v>163</v>
      </c>
      <c r="D166" s="114" t="s">
        <v>14</v>
      </c>
      <c r="E166" s="114" t="s">
        <v>23</v>
      </c>
      <c r="F166" s="118">
        <v>0</v>
      </c>
      <c r="G166" s="118">
        <v>0</v>
      </c>
      <c r="H166" s="118">
        <v>0</v>
      </c>
      <c r="I166" s="118">
        <v>0</v>
      </c>
      <c r="J166" s="118">
        <v>0</v>
      </c>
      <c r="K166" s="118">
        <v>0</v>
      </c>
      <c r="L166" s="118">
        <v>0</v>
      </c>
      <c r="M166" s="118">
        <v>0</v>
      </c>
      <c r="N166" s="118">
        <v>0</v>
      </c>
      <c r="O166" s="118">
        <v>0</v>
      </c>
      <c r="P166" s="118">
        <v>0</v>
      </c>
      <c r="Q166" s="118">
        <v>0</v>
      </c>
      <c r="R166" s="118">
        <v>0</v>
      </c>
      <c r="S166" s="118">
        <v>0</v>
      </c>
      <c r="T166" s="118">
        <v>0</v>
      </c>
      <c r="U166" s="118">
        <v>0</v>
      </c>
      <c r="V166" s="118">
        <v>0</v>
      </c>
      <c r="W166" s="118">
        <v>0</v>
      </c>
      <c r="X166" s="118">
        <v>0</v>
      </c>
      <c r="Y166" s="118">
        <v>0</v>
      </c>
      <c r="Z166" s="118">
        <v>0</v>
      </c>
      <c r="AA166" s="118">
        <v>0</v>
      </c>
      <c r="AB166" s="118">
        <v>0</v>
      </c>
    </row>
    <row r="167" spans="1:28" x14ac:dyDescent="0.25">
      <c r="A167" s="93">
        <v>164</v>
      </c>
      <c r="D167" s="114" t="s">
        <v>15</v>
      </c>
      <c r="E167" s="114" t="s">
        <v>0</v>
      </c>
      <c r="F167" s="116">
        <f>SUM(F168:F170)</f>
        <v>0</v>
      </c>
      <c r="G167" s="116">
        <f t="shared" ref="G167:W167" si="188">SUM(G168:G170)</f>
        <v>0</v>
      </c>
      <c r="H167" s="116">
        <f t="shared" si="188"/>
        <v>0</v>
      </c>
      <c r="I167" s="116">
        <f t="shared" si="188"/>
        <v>0</v>
      </c>
      <c r="J167" s="116">
        <f t="shared" si="188"/>
        <v>0</v>
      </c>
      <c r="K167" s="116">
        <f t="shared" si="188"/>
        <v>0</v>
      </c>
      <c r="L167" s="116">
        <f t="shared" si="188"/>
        <v>0</v>
      </c>
      <c r="M167" s="116">
        <f t="shared" si="188"/>
        <v>0</v>
      </c>
      <c r="N167" s="116">
        <f t="shared" si="188"/>
        <v>0</v>
      </c>
      <c r="O167" s="116">
        <f t="shared" si="188"/>
        <v>0</v>
      </c>
      <c r="P167" s="116">
        <f t="shared" si="188"/>
        <v>0</v>
      </c>
      <c r="Q167" s="116">
        <f t="shared" si="188"/>
        <v>0</v>
      </c>
      <c r="R167" s="116">
        <f t="shared" si="188"/>
        <v>0</v>
      </c>
      <c r="S167" s="116">
        <f t="shared" si="188"/>
        <v>0</v>
      </c>
      <c r="T167" s="116">
        <f t="shared" si="188"/>
        <v>0</v>
      </c>
      <c r="U167" s="116">
        <f t="shared" si="188"/>
        <v>0</v>
      </c>
      <c r="V167" s="116">
        <f t="shared" si="188"/>
        <v>0</v>
      </c>
      <c r="W167" s="116">
        <f t="shared" si="188"/>
        <v>0</v>
      </c>
      <c r="X167" s="116">
        <f t="shared" ref="X167:Y167" si="189">SUM(X168:X170)</f>
        <v>0</v>
      </c>
      <c r="Y167" s="116">
        <f t="shared" si="189"/>
        <v>0</v>
      </c>
      <c r="Z167" s="116">
        <f t="shared" ref="Z167:AA167" si="190">SUM(Z168:Z170)</f>
        <v>0</v>
      </c>
      <c r="AA167" s="116">
        <f t="shared" si="190"/>
        <v>0</v>
      </c>
      <c r="AB167" s="116">
        <f t="shared" ref="AB167" si="191">SUM(AB168:AB170)</f>
        <v>0</v>
      </c>
    </row>
    <row r="168" spans="1:28" x14ac:dyDescent="0.25">
      <c r="A168" s="93">
        <v>165</v>
      </c>
      <c r="D168" s="117" t="s">
        <v>26</v>
      </c>
      <c r="E168" s="117" t="s">
        <v>25</v>
      </c>
      <c r="F168" s="118">
        <v>0</v>
      </c>
      <c r="G168" s="118">
        <v>0</v>
      </c>
      <c r="H168" s="118">
        <v>0</v>
      </c>
      <c r="I168" s="118">
        <v>0</v>
      </c>
      <c r="J168" s="118">
        <v>0</v>
      </c>
      <c r="K168" s="118">
        <v>0</v>
      </c>
      <c r="L168" s="118">
        <v>0</v>
      </c>
      <c r="M168" s="118">
        <v>0</v>
      </c>
      <c r="N168" s="118">
        <v>0</v>
      </c>
      <c r="O168" s="118">
        <v>0</v>
      </c>
      <c r="P168" s="118">
        <v>0</v>
      </c>
      <c r="Q168" s="118">
        <v>0</v>
      </c>
      <c r="R168" s="118">
        <v>0</v>
      </c>
      <c r="S168" s="118">
        <v>0</v>
      </c>
      <c r="T168" s="118">
        <v>0</v>
      </c>
      <c r="U168" s="118">
        <v>0</v>
      </c>
      <c r="V168" s="118">
        <v>0</v>
      </c>
      <c r="W168" s="118">
        <v>0</v>
      </c>
      <c r="X168" s="118">
        <v>0</v>
      </c>
      <c r="Y168" s="118">
        <v>0</v>
      </c>
      <c r="Z168" s="118">
        <v>0</v>
      </c>
      <c r="AA168" s="118">
        <v>0</v>
      </c>
      <c r="AB168" s="118">
        <v>0</v>
      </c>
    </row>
    <row r="169" spans="1:28" x14ac:dyDescent="0.25">
      <c r="A169" s="93">
        <v>166</v>
      </c>
      <c r="D169" s="117" t="s">
        <v>16</v>
      </c>
      <c r="E169" s="117" t="s">
        <v>27</v>
      </c>
      <c r="F169" s="118">
        <v>0</v>
      </c>
      <c r="G169" s="118">
        <v>0</v>
      </c>
      <c r="H169" s="118">
        <v>0</v>
      </c>
      <c r="I169" s="118">
        <v>0</v>
      </c>
      <c r="J169" s="118">
        <v>0</v>
      </c>
      <c r="K169" s="118">
        <v>0</v>
      </c>
      <c r="L169" s="118">
        <v>0</v>
      </c>
      <c r="M169" s="118">
        <v>0</v>
      </c>
      <c r="N169" s="118">
        <v>0</v>
      </c>
      <c r="O169" s="118">
        <v>0</v>
      </c>
      <c r="P169" s="118">
        <v>0</v>
      </c>
      <c r="Q169" s="118">
        <v>0</v>
      </c>
      <c r="R169" s="118">
        <v>0</v>
      </c>
      <c r="S169" s="118">
        <v>0</v>
      </c>
      <c r="T169" s="118">
        <v>0</v>
      </c>
      <c r="U169" s="118">
        <v>0</v>
      </c>
      <c r="V169" s="118">
        <v>0</v>
      </c>
      <c r="W169" s="118">
        <v>0</v>
      </c>
      <c r="X169" s="118">
        <v>0</v>
      </c>
      <c r="Y169" s="118">
        <v>0</v>
      </c>
      <c r="Z169" s="118">
        <v>0</v>
      </c>
      <c r="AA169" s="118">
        <v>0</v>
      </c>
      <c r="AB169" s="118">
        <v>0</v>
      </c>
    </row>
    <row r="170" spans="1:28" x14ac:dyDescent="0.25">
      <c r="A170" s="93">
        <v>167</v>
      </c>
      <c r="D170" s="117" t="s">
        <v>17</v>
      </c>
      <c r="E170" s="117" t="s">
        <v>28</v>
      </c>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row>
    <row r="171" spans="1:28" x14ac:dyDescent="0.25">
      <c r="A171" s="93">
        <v>168</v>
      </c>
      <c r="D171" s="114" t="s">
        <v>1</v>
      </c>
      <c r="E171" s="114" t="s">
        <v>29</v>
      </c>
      <c r="F171" s="116">
        <v>0</v>
      </c>
      <c r="G171" s="116">
        <v>0</v>
      </c>
      <c r="H171" s="116">
        <v>0</v>
      </c>
      <c r="I171" s="116">
        <v>0</v>
      </c>
      <c r="J171" s="116">
        <v>0</v>
      </c>
      <c r="K171" s="116">
        <v>0</v>
      </c>
      <c r="L171" s="116">
        <v>0</v>
      </c>
      <c r="M171" s="116">
        <v>0</v>
      </c>
      <c r="N171" s="116">
        <v>0</v>
      </c>
      <c r="O171" s="116">
        <v>0</v>
      </c>
      <c r="P171" s="116">
        <v>0</v>
      </c>
      <c r="Q171" s="116">
        <v>0</v>
      </c>
      <c r="R171" s="116">
        <v>0</v>
      </c>
      <c r="S171" s="116">
        <v>0</v>
      </c>
      <c r="T171" s="116">
        <v>0</v>
      </c>
      <c r="U171" s="116">
        <v>0</v>
      </c>
      <c r="V171" s="116">
        <v>0</v>
      </c>
      <c r="W171" s="116">
        <v>0</v>
      </c>
      <c r="X171" s="116">
        <v>0</v>
      </c>
      <c r="Y171" s="116">
        <v>0</v>
      </c>
      <c r="Z171" s="116">
        <v>0</v>
      </c>
      <c r="AA171" s="116">
        <v>0</v>
      </c>
      <c r="AB171" s="116">
        <v>0</v>
      </c>
    </row>
    <row r="172" spans="1:28" x14ac:dyDescent="0.25">
      <c r="A172" s="93">
        <v>169</v>
      </c>
      <c r="D172" s="114" t="s">
        <v>30</v>
      </c>
      <c r="E172" s="114" t="s">
        <v>31</v>
      </c>
      <c r="F172" s="116">
        <v>0</v>
      </c>
      <c r="G172" s="116">
        <v>0</v>
      </c>
      <c r="H172" s="116">
        <v>0</v>
      </c>
      <c r="I172" s="116">
        <v>0</v>
      </c>
      <c r="J172" s="116">
        <v>0</v>
      </c>
      <c r="K172" s="116">
        <v>0</v>
      </c>
      <c r="L172" s="116">
        <v>0</v>
      </c>
      <c r="M172" s="116">
        <v>0</v>
      </c>
      <c r="N172" s="116">
        <v>0</v>
      </c>
      <c r="O172" s="116">
        <v>0</v>
      </c>
      <c r="P172" s="116">
        <v>0</v>
      </c>
      <c r="Q172" s="116">
        <v>0</v>
      </c>
      <c r="R172" s="116">
        <v>0</v>
      </c>
      <c r="S172" s="116">
        <v>0</v>
      </c>
      <c r="T172" s="116">
        <v>0</v>
      </c>
      <c r="U172" s="116">
        <v>0</v>
      </c>
      <c r="V172" s="116">
        <v>0</v>
      </c>
      <c r="W172" s="116">
        <v>0</v>
      </c>
      <c r="X172" s="116">
        <v>0</v>
      </c>
      <c r="Y172" s="116">
        <v>0</v>
      </c>
      <c r="Z172" s="116">
        <v>0</v>
      </c>
      <c r="AA172" s="116">
        <v>0</v>
      </c>
      <c r="AB172" s="116">
        <v>0</v>
      </c>
    </row>
    <row r="173" spans="1:28" ht="15.75" x14ac:dyDescent="0.25">
      <c r="A173" s="93">
        <v>170</v>
      </c>
      <c r="D173" s="112" t="s">
        <v>19</v>
      </c>
      <c r="E173" s="112" t="s">
        <v>22</v>
      </c>
      <c r="F173" s="113">
        <v>0</v>
      </c>
      <c r="G173" s="113">
        <v>0</v>
      </c>
      <c r="H173" s="113">
        <v>0</v>
      </c>
      <c r="I173" s="113">
        <v>0</v>
      </c>
      <c r="J173" s="113">
        <v>0</v>
      </c>
      <c r="K173" s="113">
        <v>0</v>
      </c>
      <c r="L173" s="113">
        <v>0</v>
      </c>
      <c r="M173" s="113">
        <v>0</v>
      </c>
      <c r="N173" s="113">
        <v>0</v>
      </c>
      <c r="O173" s="113">
        <v>0</v>
      </c>
      <c r="P173" s="113">
        <v>0</v>
      </c>
      <c r="Q173" s="113">
        <v>0</v>
      </c>
      <c r="R173" s="113">
        <v>0</v>
      </c>
      <c r="S173" s="113">
        <v>0</v>
      </c>
      <c r="T173" s="113">
        <v>0</v>
      </c>
      <c r="U173" s="113">
        <v>0</v>
      </c>
      <c r="V173" s="113">
        <v>0</v>
      </c>
      <c r="W173" s="113">
        <v>0</v>
      </c>
      <c r="X173" s="113">
        <v>0</v>
      </c>
      <c r="Y173" s="113">
        <v>0</v>
      </c>
      <c r="Z173" s="113">
        <v>0</v>
      </c>
      <c r="AA173" s="113">
        <v>0</v>
      </c>
      <c r="AB173" s="113">
        <v>0</v>
      </c>
    </row>
    <row r="174" spans="1:28" ht="17.25" customHeight="1" x14ac:dyDescent="0.25">
      <c r="A174" s="93">
        <v>171</v>
      </c>
      <c r="D174" s="119"/>
      <c r="E174" s="119"/>
      <c r="F174" s="120">
        <v>0</v>
      </c>
      <c r="G174" s="120">
        <v>0</v>
      </c>
      <c r="H174" s="120">
        <v>0</v>
      </c>
      <c r="I174" s="120">
        <v>0</v>
      </c>
      <c r="J174" s="120">
        <v>0</v>
      </c>
      <c r="K174" s="120">
        <v>0</v>
      </c>
      <c r="L174" s="120">
        <v>0</v>
      </c>
      <c r="M174" s="120">
        <v>0</v>
      </c>
      <c r="N174" s="120">
        <v>0</v>
      </c>
      <c r="O174" s="120">
        <v>0</v>
      </c>
      <c r="P174" s="120">
        <v>0</v>
      </c>
      <c r="Q174" s="120">
        <v>0</v>
      </c>
      <c r="R174" s="120">
        <v>0</v>
      </c>
      <c r="S174" s="120">
        <v>0</v>
      </c>
      <c r="T174" s="120">
        <v>0</v>
      </c>
      <c r="U174" s="120">
        <v>0</v>
      </c>
      <c r="V174" s="120">
        <v>0</v>
      </c>
      <c r="W174" s="120">
        <v>0</v>
      </c>
      <c r="X174" s="120">
        <v>0</v>
      </c>
      <c r="Y174" s="120">
        <v>0</v>
      </c>
      <c r="Z174" s="120">
        <v>0</v>
      </c>
      <c r="AA174" s="120">
        <v>0</v>
      </c>
      <c r="AB174" s="120">
        <v>0</v>
      </c>
    </row>
    <row r="175" spans="1:28" ht="26.1" customHeight="1" x14ac:dyDescent="0.3">
      <c r="A175" s="93">
        <v>172</v>
      </c>
      <c r="B175" s="108"/>
      <c r="C175" s="110" t="s">
        <v>6</v>
      </c>
      <c r="D175" s="110"/>
      <c r="F175" s="111"/>
      <c r="G175" s="111"/>
      <c r="H175" s="111"/>
      <c r="I175" s="111"/>
      <c r="J175" s="111"/>
      <c r="K175" s="111"/>
      <c r="L175" s="111"/>
      <c r="M175" s="111"/>
      <c r="N175" s="111"/>
      <c r="O175" s="111"/>
      <c r="P175" s="111"/>
      <c r="Q175" s="111"/>
      <c r="R175" s="111"/>
      <c r="S175" s="111"/>
      <c r="T175" s="111"/>
      <c r="U175" s="111"/>
      <c r="V175" s="111"/>
      <c r="W175" s="111"/>
      <c r="X175" s="111"/>
      <c r="Y175" s="111"/>
      <c r="Z175" s="111"/>
      <c r="AA175" s="111"/>
      <c r="AB175" s="111"/>
    </row>
    <row r="176" spans="1:28" ht="18" customHeight="1" x14ac:dyDescent="0.25">
      <c r="A176" s="93">
        <v>173</v>
      </c>
      <c r="D176" s="112" t="s">
        <v>13</v>
      </c>
      <c r="E176" s="112" t="s">
        <v>35</v>
      </c>
      <c r="F176" s="113">
        <f>F177+F178+F182+F183</f>
        <v>0</v>
      </c>
      <c r="G176" s="113">
        <f t="shared" ref="G176:W176" si="192">G177+G178+G182+G183</f>
        <v>0</v>
      </c>
      <c r="H176" s="113">
        <f t="shared" si="192"/>
        <v>0</v>
      </c>
      <c r="I176" s="113">
        <f t="shared" si="192"/>
        <v>0</v>
      </c>
      <c r="J176" s="113">
        <f t="shared" si="192"/>
        <v>0</v>
      </c>
      <c r="K176" s="113">
        <f t="shared" si="192"/>
        <v>0</v>
      </c>
      <c r="L176" s="113">
        <f t="shared" si="192"/>
        <v>0</v>
      </c>
      <c r="M176" s="113">
        <f t="shared" si="192"/>
        <v>0</v>
      </c>
      <c r="N176" s="113">
        <f t="shared" si="192"/>
        <v>0</v>
      </c>
      <c r="O176" s="113">
        <f t="shared" si="192"/>
        <v>0</v>
      </c>
      <c r="P176" s="113">
        <f t="shared" si="192"/>
        <v>0</v>
      </c>
      <c r="Q176" s="113">
        <f t="shared" si="192"/>
        <v>0</v>
      </c>
      <c r="R176" s="113">
        <f t="shared" si="192"/>
        <v>0</v>
      </c>
      <c r="S176" s="113">
        <f t="shared" si="192"/>
        <v>0</v>
      </c>
      <c r="T176" s="113">
        <f t="shared" si="192"/>
        <v>0</v>
      </c>
      <c r="U176" s="113">
        <f t="shared" si="192"/>
        <v>0</v>
      </c>
      <c r="V176" s="113">
        <f t="shared" si="192"/>
        <v>0</v>
      </c>
      <c r="W176" s="113">
        <f t="shared" si="192"/>
        <v>0</v>
      </c>
      <c r="X176" s="113">
        <f t="shared" ref="X176:Y176" si="193">X177+X178+X182+X183</f>
        <v>0</v>
      </c>
      <c r="Y176" s="113">
        <f t="shared" si="193"/>
        <v>0</v>
      </c>
      <c r="Z176" s="113">
        <f t="shared" ref="Z176:AA176" si="194">Z177+Z178+Z182+Z183</f>
        <v>0</v>
      </c>
      <c r="AA176" s="113">
        <f t="shared" si="194"/>
        <v>0</v>
      </c>
      <c r="AB176" s="113">
        <f t="shared" ref="AB176" si="195">AB177+AB178+AB182+AB183</f>
        <v>0</v>
      </c>
    </row>
    <row r="177" spans="1:28" x14ac:dyDescent="0.25">
      <c r="A177" s="93">
        <v>174</v>
      </c>
      <c r="D177" s="114" t="s">
        <v>14</v>
      </c>
      <c r="E177" s="114" t="s">
        <v>23</v>
      </c>
      <c r="F177" s="116">
        <v>0</v>
      </c>
      <c r="G177" s="116">
        <v>0</v>
      </c>
      <c r="H177" s="116">
        <v>0</v>
      </c>
      <c r="I177" s="116">
        <v>0</v>
      </c>
      <c r="J177" s="116">
        <v>0</v>
      </c>
      <c r="K177" s="116">
        <v>0</v>
      </c>
      <c r="L177" s="116">
        <v>0</v>
      </c>
      <c r="M177" s="116">
        <v>0</v>
      </c>
      <c r="N177" s="116">
        <v>0</v>
      </c>
      <c r="O177" s="116">
        <v>0</v>
      </c>
      <c r="P177" s="116">
        <v>0</v>
      </c>
      <c r="Q177" s="116">
        <v>0</v>
      </c>
      <c r="R177" s="116">
        <v>0</v>
      </c>
      <c r="S177" s="116">
        <v>0</v>
      </c>
      <c r="T177" s="116">
        <v>0</v>
      </c>
      <c r="U177" s="116">
        <v>0</v>
      </c>
      <c r="V177" s="116">
        <v>0</v>
      </c>
      <c r="W177" s="116">
        <v>0</v>
      </c>
      <c r="X177" s="116">
        <v>0</v>
      </c>
      <c r="Y177" s="116">
        <v>0</v>
      </c>
      <c r="Z177" s="116">
        <v>0</v>
      </c>
      <c r="AA177" s="116">
        <v>0</v>
      </c>
      <c r="AB177" s="116">
        <v>0</v>
      </c>
    </row>
    <row r="178" spans="1:28" x14ac:dyDescent="0.25">
      <c r="A178" s="93">
        <v>175</v>
      </c>
      <c r="D178" s="114" t="s">
        <v>15</v>
      </c>
      <c r="E178" s="114" t="s">
        <v>0</v>
      </c>
      <c r="F178" s="116">
        <f>SUM(F179:F181)</f>
        <v>0</v>
      </c>
      <c r="G178" s="116">
        <f t="shared" ref="G178:W178" si="196">SUM(G179:G181)</f>
        <v>0</v>
      </c>
      <c r="H178" s="116">
        <f t="shared" si="196"/>
        <v>0</v>
      </c>
      <c r="I178" s="116">
        <f t="shared" si="196"/>
        <v>0</v>
      </c>
      <c r="J178" s="116">
        <f t="shared" si="196"/>
        <v>0</v>
      </c>
      <c r="K178" s="116">
        <f t="shared" si="196"/>
        <v>0</v>
      </c>
      <c r="L178" s="116">
        <f t="shared" si="196"/>
        <v>0</v>
      </c>
      <c r="M178" s="116">
        <f t="shared" si="196"/>
        <v>0</v>
      </c>
      <c r="N178" s="116">
        <f t="shared" si="196"/>
        <v>0</v>
      </c>
      <c r="O178" s="116">
        <f t="shared" si="196"/>
        <v>0</v>
      </c>
      <c r="P178" s="116">
        <f t="shared" si="196"/>
        <v>0</v>
      </c>
      <c r="Q178" s="116">
        <f t="shared" si="196"/>
        <v>0</v>
      </c>
      <c r="R178" s="116">
        <f t="shared" si="196"/>
        <v>0</v>
      </c>
      <c r="S178" s="116">
        <f t="shared" si="196"/>
        <v>0</v>
      </c>
      <c r="T178" s="116">
        <f t="shared" si="196"/>
        <v>0</v>
      </c>
      <c r="U178" s="116">
        <f t="shared" si="196"/>
        <v>0</v>
      </c>
      <c r="V178" s="116">
        <f t="shared" si="196"/>
        <v>0</v>
      </c>
      <c r="W178" s="116">
        <f t="shared" si="196"/>
        <v>0</v>
      </c>
      <c r="X178" s="116">
        <f t="shared" ref="X178:Y178" si="197">SUM(X179:X181)</f>
        <v>0</v>
      </c>
      <c r="Y178" s="116">
        <f t="shared" si="197"/>
        <v>0</v>
      </c>
      <c r="Z178" s="116">
        <f t="shared" ref="Z178:AA178" si="198">SUM(Z179:Z181)</f>
        <v>0</v>
      </c>
      <c r="AA178" s="116">
        <f t="shared" si="198"/>
        <v>0</v>
      </c>
      <c r="AB178" s="116">
        <f t="shared" ref="AB178" si="199">SUM(AB179:AB181)</f>
        <v>0</v>
      </c>
    </row>
    <row r="179" spans="1:28" x14ac:dyDescent="0.25">
      <c r="A179" s="93">
        <v>176</v>
      </c>
      <c r="D179" s="117" t="s">
        <v>26</v>
      </c>
      <c r="E179" s="117" t="s">
        <v>25</v>
      </c>
      <c r="F179" s="118">
        <v>0</v>
      </c>
      <c r="G179" s="118">
        <v>0</v>
      </c>
      <c r="H179" s="118">
        <v>0</v>
      </c>
      <c r="I179" s="118">
        <v>0</v>
      </c>
      <c r="J179" s="118">
        <v>0</v>
      </c>
      <c r="K179" s="118">
        <v>0</v>
      </c>
      <c r="L179" s="118">
        <v>0</v>
      </c>
      <c r="M179" s="118">
        <v>0</v>
      </c>
      <c r="N179" s="118">
        <v>0</v>
      </c>
      <c r="O179" s="118">
        <v>0</v>
      </c>
      <c r="P179" s="118">
        <v>0</v>
      </c>
      <c r="Q179" s="118">
        <v>0</v>
      </c>
      <c r="R179" s="118">
        <v>0</v>
      </c>
      <c r="S179" s="118">
        <v>0</v>
      </c>
      <c r="T179" s="118">
        <v>0</v>
      </c>
      <c r="U179" s="118">
        <v>0</v>
      </c>
      <c r="V179" s="118">
        <v>0</v>
      </c>
      <c r="W179" s="118">
        <v>0</v>
      </c>
      <c r="X179" s="118">
        <v>0</v>
      </c>
      <c r="Y179" s="118">
        <v>0</v>
      </c>
      <c r="Z179" s="118">
        <v>0</v>
      </c>
      <c r="AA179" s="118">
        <v>0</v>
      </c>
      <c r="AB179" s="118">
        <v>0</v>
      </c>
    </row>
    <row r="180" spans="1:28" x14ac:dyDescent="0.25">
      <c r="A180" s="93">
        <v>177</v>
      </c>
      <c r="D180" s="117" t="s">
        <v>16</v>
      </c>
      <c r="E180" s="117" t="s">
        <v>27</v>
      </c>
      <c r="F180" s="118">
        <v>0</v>
      </c>
      <c r="G180" s="118">
        <v>0</v>
      </c>
      <c r="H180" s="118">
        <v>0</v>
      </c>
      <c r="I180" s="118">
        <v>0</v>
      </c>
      <c r="J180" s="118">
        <v>0</v>
      </c>
      <c r="K180" s="118">
        <v>0</v>
      </c>
      <c r="L180" s="118">
        <v>0</v>
      </c>
      <c r="M180" s="118">
        <v>0</v>
      </c>
      <c r="N180" s="118">
        <v>0</v>
      </c>
      <c r="O180" s="118">
        <v>0</v>
      </c>
      <c r="P180" s="118">
        <v>0</v>
      </c>
      <c r="Q180" s="118">
        <v>0</v>
      </c>
      <c r="R180" s="118">
        <v>0</v>
      </c>
      <c r="S180" s="118">
        <v>0</v>
      </c>
      <c r="T180" s="118">
        <v>0</v>
      </c>
      <c r="U180" s="118">
        <v>0</v>
      </c>
      <c r="V180" s="118">
        <v>0</v>
      </c>
      <c r="W180" s="118">
        <v>0</v>
      </c>
      <c r="X180" s="118">
        <v>0</v>
      </c>
      <c r="Y180" s="118">
        <v>0</v>
      </c>
      <c r="Z180" s="118">
        <v>0</v>
      </c>
      <c r="AA180" s="118">
        <v>0</v>
      </c>
      <c r="AB180" s="118">
        <v>0</v>
      </c>
    </row>
    <row r="181" spans="1:28" x14ac:dyDescent="0.25">
      <c r="A181" s="93">
        <v>178</v>
      </c>
      <c r="D181" s="117" t="s">
        <v>17</v>
      </c>
      <c r="E181" s="117" t="s">
        <v>28</v>
      </c>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row>
    <row r="182" spans="1:28" x14ac:dyDescent="0.25">
      <c r="A182" s="93">
        <v>179</v>
      </c>
      <c r="D182" s="114" t="s">
        <v>1</v>
      </c>
      <c r="E182" s="114" t="s">
        <v>29</v>
      </c>
      <c r="F182" s="116">
        <v>0</v>
      </c>
      <c r="G182" s="116">
        <v>0</v>
      </c>
      <c r="H182" s="116">
        <v>0</v>
      </c>
      <c r="I182" s="116">
        <v>0</v>
      </c>
      <c r="J182" s="116">
        <v>0</v>
      </c>
      <c r="K182" s="116">
        <v>0</v>
      </c>
      <c r="L182" s="116">
        <v>0</v>
      </c>
      <c r="M182" s="116">
        <v>0</v>
      </c>
      <c r="N182" s="116">
        <v>0</v>
      </c>
      <c r="O182" s="116">
        <v>0</v>
      </c>
      <c r="P182" s="116">
        <v>0</v>
      </c>
      <c r="Q182" s="116">
        <v>0</v>
      </c>
      <c r="R182" s="116">
        <v>0</v>
      </c>
      <c r="S182" s="116">
        <v>0</v>
      </c>
      <c r="T182" s="116">
        <v>0</v>
      </c>
      <c r="U182" s="116">
        <v>0</v>
      </c>
      <c r="V182" s="116">
        <v>0</v>
      </c>
      <c r="W182" s="116">
        <v>0</v>
      </c>
      <c r="X182" s="116">
        <v>0</v>
      </c>
      <c r="Y182" s="116">
        <v>0</v>
      </c>
      <c r="Z182" s="116">
        <v>0</v>
      </c>
      <c r="AA182" s="116">
        <v>0</v>
      </c>
      <c r="AB182" s="116">
        <v>0</v>
      </c>
    </row>
    <row r="183" spans="1:28" x14ac:dyDescent="0.25">
      <c r="A183" s="93">
        <v>180</v>
      </c>
      <c r="D183" s="114" t="s">
        <v>30</v>
      </c>
      <c r="E183" s="114" t="s">
        <v>31</v>
      </c>
      <c r="F183" s="116">
        <v>0</v>
      </c>
      <c r="G183" s="116">
        <v>0</v>
      </c>
      <c r="H183" s="116">
        <v>0</v>
      </c>
      <c r="I183" s="116">
        <v>0</v>
      </c>
      <c r="J183" s="116">
        <v>0</v>
      </c>
      <c r="K183" s="116">
        <v>0</v>
      </c>
      <c r="L183" s="116">
        <v>0</v>
      </c>
      <c r="M183" s="116">
        <v>0</v>
      </c>
      <c r="N183" s="116">
        <v>0</v>
      </c>
      <c r="O183" s="116">
        <v>0</v>
      </c>
      <c r="P183" s="116">
        <v>0</v>
      </c>
      <c r="Q183" s="116">
        <v>0</v>
      </c>
      <c r="R183" s="116">
        <v>0</v>
      </c>
      <c r="S183" s="116">
        <v>0</v>
      </c>
      <c r="T183" s="116">
        <v>0</v>
      </c>
      <c r="U183" s="116">
        <v>0</v>
      </c>
      <c r="V183" s="116">
        <v>0</v>
      </c>
      <c r="W183" s="116">
        <v>0</v>
      </c>
      <c r="X183" s="116">
        <v>0</v>
      </c>
      <c r="Y183" s="116">
        <v>0</v>
      </c>
      <c r="Z183" s="116">
        <v>0</v>
      </c>
      <c r="AA183" s="116">
        <v>0</v>
      </c>
      <c r="AB183" s="116">
        <v>0</v>
      </c>
    </row>
    <row r="184" spans="1:28" ht="15.75" x14ac:dyDescent="0.25">
      <c r="A184" s="93">
        <v>181</v>
      </c>
      <c r="D184" s="112" t="s">
        <v>19</v>
      </c>
      <c r="E184" s="112" t="s">
        <v>22</v>
      </c>
      <c r="F184" s="113">
        <v>0</v>
      </c>
      <c r="G184" s="113">
        <v>0</v>
      </c>
      <c r="H184" s="113">
        <v>0</v>
      </c>
      <c r="I184" s="113">
        <v>0</v>
      </c>
      <c r="J184" s="113">
        <v>0</v>
      </c>
      <c r="K184" s="113">
        <v>0</v>
      </c>
      <c r="L184" s="113">
        <v>0</v>
      </c>
      <c r="M184" s="113">
        <v>0</v>
      </c>
      <c r="N184" s="113">
        <v>0</v>
      </c>
      <c r="O184" s="113">
        <v>0</v>
      </c>
      <c r="P184" s="113">
        <v>0</v>
      </c>
      <c r="Q184" s="113">
        <v>0</v>
      </c>
      <c r="R184" s="113">
        <v>0</v>
      </c>
      <c r="S184" s="113">
        <v>0</v>
      </c>
      <c r="T184" s="113">
        <v>0</v>
      </c>
      <c r="U184" s="113">
        <v>0</v>
      </c>
      <c r="V184" s="113">
        <v>0</v>
      </c>
      <c r="W184" s="113">
        <v>0</v>
      </c>
      <c r="X184" s="113">
        <v>0</v>
      </c>
      <c r="Y184" s="113">
        <v>0</v>
      </c>
      <c r="Z184" s="113">
        <v>0</v>
      </c>
      <c r="AA184" s="113">
        <v>0</v>
      </c>
      <c r="AB184" s="113">
        <v>0</v>
      </c>
    </row>
    <row r="185" spans="1:28" ht="9" customHeight="1" x14ac:dyDescent="0.25">
      <c r="A185" s="93">
        <v>182</v>
      </c>
      <c r="D185" s="119"/>
      <c r="E185" s="119"/>
      <c r="F185" s="120">
        <v>0</v>
      </c>
      <c r="G185" s="120">
        <v>0</v>
      </c>
      <c r="H185" s="120">
        <v>0</v>
      </c>
      <c r="I185" s="120">
        <v>0</v>
      </c>
      <c r="J185" s="120">
        <v>0</v>
      </c>
      <c r="K185" s="120">
        <v>0</v>
      </c>
      <c r="L185" s="120">
        <v>0</v>
      </c>
      <c r="M185" s="120">
        <v>0</v>
      </c>
      <c r="N185" s="120">
        <v>0</v>
      </c>
      <c r="O185" s="120">
        <v>0</v>
      </c>
      <c r="P185" s="120">
        <v>0</v>
      </c>
      <c r="Q185" s="120">
        <v>0</v>
      </c>
      <c r="R185" s="120">
        <v>0</v>
      </c>
      <c r="S185" s="120">
        <v>0</v>
      </c>
      <c r="T185" s="120">
        <v>0</v>
      </c>
      <c r="U185" s="120">
        <v>0</v>
      </c>
      <c r="V185" s="120">
        <v>0</v>
      </c>
      <c r="W185" s="120">
        <v>0</v>
      </c>
      <c r="X185" s="120">
        <v>0</v>
      </c>
      <c r="Y185" s="120">
        <v>0</v>
      </c>
      <c r="Z185" s="120">
        <v>0</v>
      </c>
      <c r="AA185" s="120">
        <v>0</v>
      </c>
      <c r="AB185" s="120">
        <v>0</v>
      </c>
    </row>
    <row r="186" spans="1:28" ht="26.1" customHeight="1" x14ac:dyDescent="0.3">
      <c r="A186" s="93">
        <v>183</v>
      </c>
      <c r="B186" s="108"/>
      <c r="C186" s="110" t="s">
        <v>24</v>
      </c>
      <c r="D186" s="110"/>
      <c r="F186" s="111"/>
      <c r="G186" s="111"/>
      <c r="H186" s="111"/>
      <c r="I186" s="111"/>
      <c r="J186" s="111"/>
      <c r="K186" s="111"/>
      <c r="L186" s="111"/>
      <c r="M186" s="111"/>
      <c r="N186" s="111"/>
      <c r="O186" s="111"/>
      <c r="P186" s="111"/>
      <c r="Q186" s="111"/>
      <c r="R186" s="111"/>
      <c r="S186" s="111"/>
      <c r="T186" s="111"/>
      <c r="U186" s="111"/>
      <c r="V186" s="111"/>
      <c r="W186" s="111"/>
      <c r="X186" s="111"/>
      <c r="Y186" s="111"/>
      <c r="Z186" s="111"/>
      <c r="AA186" s="111"/>
      <c r="AB186" s="111"/>
    </row>
    <row r="187" spans="1:28" ht="18" customHeight="1" x14ac:dyDescent="0.25">
      <c r="A187" s="93">
        <v>184</v>
      </c>
      <c r="D187" s="112" t="s">
        <v>13</v>
      </c>
      <c r="E187" s="112" t="s">
        <v>35</v>
      </c>
      <c r="F187" s="113">
        <f>F188+F189+F193+F194</f>
        <v>-36.33818763625969</v>
      </c>
      <c r="G187" s="113">
        <f t="shared" ref="G187:W187" si="200">G188+G189+G193+G194</f>
        <v>10.303697230307284</v>
      </c>
      <c r="H187" s="113">
        <f t="shared" si="200"/>
        <v>4.5377765097334617</v>
      </c>
      <c r="I187" s="113">
        <f t="shared" si="200"/>
        <v>8.4848919521498107</v>
      </c>
      <c r="J187" s="113">
        <f t="shared" si="200"/>
        <v>-38.883890676777796</v>
      </c>
      <c r="K187" s="113">
        <f t="shared" si="200"/>
        <v>-1.0700424277717531</v>
      </c>
      <c r="L187" s="113">
        <f t="shared" si="200"/>
        <v>23.124244956608344</v>
      </c>
      <c r="M187" s="113">
        <f t="shared" si="200"/>
        <v>-14.763389622874522</v>
      </c>
      <c r="N187" s="113">
        <f t="shared" si="200"/>
        <v>0</v>
      </c>
      <c r="O187" s="113">
        <f t="shared" si="200"/>
        <v>-17.324898356578281</v>
      </c>
      <c r="P187" s="113">
        <f t="shared" si="200"/>
        <v>4.3552200679270516</v>
      </c>
      <c r="Q187" s="113">
        <f t="shared" si="200"/>
        <v>25.725832476718129</v>
      </c>
      <c r="R187" s="113">
        <f t="shared" si="200"/>
        <v>0.44987297078441024</v>
      </c>
      <c r="S187" s="113">
        <f t="shared" si="200"/>
        <v>3.1605082612814881</v>
      </c>
      <c r="T187" s="113">
        <f t="shared" si="200"/>
        <v>5.9355431748370977</v>
      </c>
      <c r="U187" s="113">
        <f t="shared" si="200"/>
        <v>1.0033010992846476</v>
      </c>
      <c r="V187" s="113">
        <f t="shared" si="200"/>
        <v>-3.3797371320638128</v>
      </c>
      <c r="W187" s="113">
        <f t="shared" si="200"/>
        <v>3.0570302709923256</v>
      </c>
      <c r="X187" s="113">
        <f t="shared" ref="X187:Y187" si="201">X188+X189+X193+X194</f>
        <v>1.3524340798852377</v>
      </c>
      <c r="Y187" s="113">
        <f t="shared" si="201"/>
        <v>2.1549098156145314</v>
      </c>
      <c r="Z187" s="113">
        <f t="shared" ref="Z187:AA187" si="202">Z188+Z189+Z193+Z194</f>
        <v>-3.4935489024467508</v>
      </c>
      <c r="AA187" s="113">
        <f t="shared" si="202"/>
        <v>1.8807294437082627</v>
      </c>
      <c r="AB187" s="113">
        <f t="shared" ref="AB187" si="203">AB188+AB189+AB193+AB194</f>
        <v>4.7208790159561715</v>
      </c>
    </row>
    <row r="188" spans="1:28" x14ac:dyDescent="0.25">
      <c r="A188" s="93">
        <v>185</v>
      </c>
      <c r="D188" s="114" t="s">
        <v>14</v>
      </c>
      <c r="E188" s="114" t="s">
        <v>23</v>
      </c>
      <c r="F188" s="118">
        <v>-43.294962379501527</v>
      </c>
      <c r="G188" s="118">
        <v>4.5473840543727277</v>
      </c>
      <c r="H188" s="118">
        <v>-0.21066572803766803</v>
      </c>
      <c r="I188" s="118">
        <v>11.388404954593582</v>
      </c>
      <c r="J188" s="118">
        <v>-24.526189799711531</v>
      </c>
      <c r="K188" s="118">
        <v>-1.7325878860139028</v>
      </c>
      <c r="L188" s="118">
        <v>-2.5816726343867771</v>
      </c>
      <c r="M188" s="118">
        <v>-9.8077107306900331</v>
      </c>
      <c r="N188" s="118">
        <v>0</v>
      </c>
      <c r="O188" s="118">
        <v>8.4455764779173705</v>
      </c>
      <c r="P188" s="118">
        <v>2.4637968802709906</v>
      </c>
      <c r="Q188" s="118">
        <v>-23.787611211761572</v>
      </c>
      <c r="R188" s="118">
        <v>6.3631432842457087</v>
      </c>
      <c r="S188" s="118">
        <v>0.82901983983227012</v>
      </c>
      <c r="T188" s="118">
        <v>5.3656191824350543</v>
      </c>
      <c r="U188" s="118">
        <v>0.10048904927977276</v>
      </c>
      <c r="V188" s="118">
        <v>-1.7450271744260988</v>
      </c>
      <c r="W188" s="118">
        <v>0.19727133851237966</v>
      </c>
      <c r="X188" s="118">
        <v>3.9427814996631696</v>
      </c>
      <c r="Y188" s="118">
        <v>1.8752761746952729E-2</v>
      </c>
      <c r="Z188" s="118">
        <v>-1.0574374734662939</v>
      </c>
      <c r="AA188" s="118">
        <v>1.1939028959787805</v>
      </c>
      <c r="AB188" s="118">
        <v>0.77966268242684578</v>
      </c>
    </row>
    <row r="189" spans="1:28" x14ac:dyDescent="0.25">
      <c r="A189" s="93">
        <v>186</v>
      </c>
      <c r="D189" s="114" t="s">
        <v>15</v>
      </c>
      <c r="E189" s="114" t="s">
        <v>0</v>
      </c>
      <c r="F189" s="116">
        <f>SUM(F190:F192)</f>
        <v>-6.711279240080362</v>
      </c>
      <c r="G189" s="116">
        <f t="shared" ref="G189:W189" si="204">SUM(G190:G192)</f>
        <v>0.46320029093910442</v>
      </c>
      <c r="H189" s="116">
        <f t="shared" si="204"/>
        <v>-0.67319832395736512</v>
      </c>
      <c r="I189" s="116">
        <f t="shared" si="204"/>
        <v>-1.1121736797949051</v>
      </c>
      <c r="J189" s="116">
        <f t="shared" si="204"/>
        <v>0.36541627437766522</v>
      </c>
      <c r="K189" s="116">
        <f t="shared" si="204"/>
        <v>-0.21574035950095549</v>
      </c>
      <c r="L189" s="116">
        <f t="shared" si="204"/>
        <v>-2.4749030679547328</v>
      </c>
      <c r="M189" s="116">
        <f t="shared" si="204"/>
        <v>-0.49506396595737989</v>
      </c>
      <c r="N189" s="116">
        <f t="shared" si="204"/>
        <v>0</v>
      </c>
      <c r="O189" s="116">
        <f t="shared" si="204"/>
        <v>2.5686320016579831</v>
      </c>
      <c r="P189" s="116">
        <f t="shared" si="204"/>
        <v>0.26783697854901511</v>
      </c>
      <c r="Q189" s="116">
        <f t="shared" si="204"/>
        <v>-3.9309060072379332</v>
      </c>
      <c r="R189" s="116">
        <f t="shared" si="204"/>
        <v>-0.48304302251350073</v>
      </c>
      <c r="S189" s="116">
        <f t="shared" si="204"/>
        <v>-0.36072896714899105</v>
      </c>
      <c r="T189" s="116">
        <f t="shared" si="204"/>
        <v>0.13861001585151644</v>
      </c>
      <c r="U189" s="116">
        <f t="shared" si="204"/>
        <v>-0.33774903458933014</v>
      </c>
      <c r="V189" s="116">
        <f t="shared" si="204"/>
        <v>0.10674742193432607</v>
      </c>
      <c r="W189" s="116">
        <f t="shared" si="204"/>
        <v>5.1430426637961268E-2</v>
      </c>
      <c r="X189" s="116">
        <f t="shared" ref="X189:Y189" si="205">SUM(X190:X192)</f>
        <v>0.20709850191196733</v>
      </c>
      <c r="Y189" s="116">
        <f t="shared" si="205"/>
        <v>-0.434923351315887</v>
      </c>
      <c r="Z189" s="116">
        <f t="shared" ref="Z189:AA189" si="206">SUM(Z190:Z192)</f>
        <v>0.14356239792112646</v>
      </c>
      <c r="AA189" s="116">
        <f t="shared" si="206"/>
        <v>4.1292817764401413E-2</v>
      </c>
      <c r="AB189" s="116">
        <f t="shared" ref="AB189" si="207">SUM(AB190:AB192)</f>
        <v>-0.78291253956878393</v>
      </c>
    </row>
    <row r="190" spans="1:28" x14ac:dyDescent="0.25">
      <c r="A190" s="93">
        <v>187</v>
      </c>
      <c r="D190" s="117" t="s">
        <v>26</v>
      </c>
      <c r="E190" s="117" t="s">
        <v>25</v>
      </c>
      <c r="F190" s="118">
        <v>-6.711279240080362</v>
      </c>
      <c r="G190" s="118">
        <v>0.46320029093910442</v>
      </c>
      <c r="H190" s="118">
        <v>-0.67319832395736512</v>
      </c>
      <c r="I190" s="118">
        <v>-1.1121736797949051</v>
      </c>
      <c r="J190" s="118">
        <v>0.36541627437766522</v>
      </c>
      <c r="K190" s="118">
        <v>-0.21574035950095549</v>
      </c>
      <c r="L190" s="118">
        <v>-2.4749030679547328</v>
      </c>
      <c r="M190" s="118">
        <v>-0.49506396595737989</v>
      </c>
      <c r="N190" s="118">
        <v>0</v>
      </c>
      <c r="O190" s="118">
        <v>2.5686320016579831</v>
      </c>
      <c r="P190" s="118">
        <v>0.26783697854901511</v>
      </c>
      <c r="Q190" s="118">
        <v>-3.9309060072379332</v>
      </c>
      <c r="R190" s="118">
        <v>-0.48304302251350073</v>
      </c>
      <c r="S190" s="118">
        <v>-0.36072896714899105</v>
      </c>
      <c r="T190" s="118">
        <v>0.13861001585151644</v>
      </c>
      <c r="U190" s="118">
        <v>-0.33774903458933014</v>
      </c>
      <c r="V190" s="118">
        <v>0.10674742193432607</v>
      </c>
      <c r="W190" s="118">
        <v>5.1430426637961268E-2</v>
      </c>
      <c r="X190" s="118">
        <v>0.20709850191196733</v>
      </c>
      <c r="Y190" s="118">
        <v>-0.434923351315887</v>
      </c>
      <c r="Z190" s="118">
        <v>0.14356239792112646</v>
      </c>
      <c r="AA190" s="118">
        <v>4.1292817764401413E-2</v>
      </c>
      <c r="AB190" s="118">
        <v>-0.78291253956878393</v>
      </c>
    </row>
    <row r="191" spans="1:28" x14ac:dyDescent="0.25">
      <c r="A191" s="93">
        <v>188</v>
      </c>
      <c r="D191" s="117" t="s">
        <v>16</v>
      </c>
      <c r="E191" s="117" t="s">
        <v>27</v>
      </c>
      <c r="F191" s="118">
        <v>0</v>
      </c>
      <c r="G191" s="118">
        <v>0</v>
      </c>
      <c r="H191" s="118">
        <v>0</v>
      </c>
      <c r="I191" s="118">
        <v>0</v>
      </c>
      <c r="J191" s="118">
        <v>0</v>
      </c>
      <c r="K191" s="118">
        <v>0</v>
      </c>
      <c r="L191" s="118">
        <v>0</v>
      </c>
      <c r="M191" s="118">
        <v>0</v>
      </c>
      <c r="N191" s="118">
        <v>0</v>
      </c>
      <c r="O191" s="118">
        <v>0</v>
      </c>
      <c r="P191" s="118">
        <v>0</v>
      </c>
      <c r="Q191" s="118">
        <v>0</v>
      </c>
      <c r="R191" s="118">
        <v>0</v>
      </c>
      <c r="S191" s="118">
        <v>0</v>
      </c>
      <c r="T191" s="118">
        <v>0</v>
      </c>
      <c r="U191" s="118">
        <v>0</v>
      </c>
      <c r="V191" s="118">
        <v>0</v>
      </c>
      <c r="W191" s="118">
        <v>0</v>
      </c>
      <c r="X191" s="118">
        <v>0</v>
      </c>
      <c r="Y191" s="118">
        <v>0</v>
      </c>
      <c r="Z191" s="118">
        <v>0</v>
      </c>
      <c r="AA191" s="118">
        <v>0</v>
      </c>
      <c r="AB191" s="118">
        <v>0</v>
      </c>
    </row>
    <row r="192" spans="1:28" x14ac:dyDescent="0.25">
      <c r="A192" s="93">
        <v>189</v>
      </c>
      <c r="D192" s="117" t="s">
        <v>17</v>
      </c>
      <c r="E192" s="117" t="s">
        <v>28</v>
      </c>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row>
    <row r="193" spans="1:28" x14ac:dyDescent="0.25">
      <c r="A193" s="93">
        <v>190</v>
      </c>
      <c r="D193" s="114" t="s">
        <v>1</v>
      </c>
      <c r="E193" s="114" t="s">
        <v>29</v>
      </c>
      <c r="F193" s="116">
        <v>0</v>
      </c>
      <c r="G193" s="116">
        <v>0</v>
      </c>
      <c r="H193" s="116">
        <v>0</v>
      </c>
      <c r="I193" s="116">
        <v>0</v>
      </c>
      <c r="J193" s="116">
        <v>0</v>
      </c>
      <c r="K193" s="116">
        <v>0</v>
      </c>
      <c r="L193" s="116">
        <v>0</v>
      </c>
      <c r="M193" s="116">
        <v>0</v>
      </c>
      <c r="N193" s="116">
        <v>0</v>
      </c>
      <c r="O193" s="116">
        <v>0</v>
      </c>
      <c r="P193" s="116">
        <v>0</v>
      </c>
      <c r="Q193" s="116">
        <v>0</v>
      </c>
      <c r="R193" s="116">
        <v>0</v>
      </c>
      <c r="S193" s="116">
        <v>0</v>
      </c>
      <c r="T193" s="116">
        <v>0</v>
      </c>
      <c r="U193" s="116">
        <v>0</v>
      </c>
      <c r="V193" s="116">
        <v>0</v>
      </c>
      <c r="W193" s="116">
        <v>0</v>
      </c>
      <c r="X193" s="116">
        <v>0</v>
      </c>
      <c r="Y193" s="116">
        <v>0</v>
      </c>
      <c r="Z193" s="116">
        <v>0</v>
      </c>
      <c r="AA193" s="116">
        <v>0</v>
      </c>
      <c r="AB193" s="116">
        <v>0</v>
      </c>
    </row>
    <row r="194" spans="1:28" x14ac:dyDescent="0.25">
      <c r="A194" s="93">
        <v>191</v>
      </c>
      <c r="D194" s="114" t="s">
        <v>30</v>
      </c>
      <c r="E194" s="114" t="s">
        <v>31</v>
      </c>
      <c r="F194" s="116">
        <v>13.668053983322196</v>
      </c>
      <c r="G194" s="116">
        <v>5.2931128849954519</v>
      </c>
      <c r="H194" s="116">
        <v>5.4216405617284948</v>
      </c>
      <c r="I194" s="116">
        <v>-1.7913393226488665</v>
      </c>
      <c r="J194" s="116">
        <v>-14.72311715144393</v>
      </c>
      <c r="K194" s="116">
        <v>0.87828581774310521</v>
      </c>
      <c r="L194" s="116">
        <v>28.180820658949855</v>
      </c>
      <c r="M194" s="116">
        <v>-4.4606149262271089</v>
      </c>
      <c r="N194" s="116">
        <v>0</v>
      </c>
      <c r="O194" s="116">
        <v>-28.339106836153633</v>
      </c>
      <c r="P194" s="116">
        <v>1.6235862091070459</v>
      </c>
      <c r="Q194" s="116">
        <v>53.444349695717634</v>
      </c>
      <c r="R194" s="116">
        <v>-5.4302272909477978</v>
      </c>
      <c r="S194" s="116">
        <v>2.692217388598209</v>
      </c>
      <c r="T194" s="116">
        <v>0.43131397655052695</v>
      </c>
      <c r="U194" s="116">
        <v>1.240561084594205</v>
      </c>
      <c r="V194" s="116">
        <v>-1.7414573795720401</v>
      </c>
      <c r="W194" s="116">
        <v>2.8083285058419847</v>
      </c>
      <c r="X194" s="116">
        <v>-2.7974459216898993</v>
      </c>
      <c r="Y194" s="116">
        <v>2.5710804051834657</v>
      </c>
      <c r="Z194" s="116">
        <v>-2.5796738269015833</v>
      </c>
      <c r="AA194" s="116">
        <v>0.64553372996508074</v>
      </c>
      <c r="AB194" s="116">
        <v>4.7241288730981097</v>
      </c>
    </row>
    <row r="195" spans="1:28" ht="15.75" x14ac:dyDescent="0.25">
      <c r="A195" s="93">
        <v>192</v>
      </c>
      <c r="D195" s="112" t="s">
        <v>19</v>
      </c>
      <c r="E195" s="112" t="s">
        <v>22</v>
      </c>
      <c r="F195" s="113">
        <v>37.880860191668205</v>
      </c>
      <c r="G195" s="113">
        <v>12.825864703845951</v>
      </c>
      <c r="H195" s="113">
        <v>1.0590095561083501</v>
      </c>
      <c r="I195" s="113">
        <v>-21.68988528091387</v>
      </c>
      <c r="J195" s="113">
        <v>-5.1192519180482634</v>
      </c>
      <c r="K195" s="113">
        <v>2.8636485538188765</v>
      </c>
      <c r="L195" s="113">
        <v>0.45141976521142624</v>
      </c>
      <c r="M195" s="113">
        <v>-4.894294672200374</v>
      </c>
      <c r="N195" s="113">
        <v>0</v>
      </c>
      <c r="O195" s="113">
        <v>-6.7564927824066956</v>
      </c>
      <c r="P195" s="113">
        <v>3.6180568162928921</v>
      </c>
      <c r="Q195" s="113">
        <v>10.666101757897309</v>
      </c>
      <c r="R195" s="113">
        <v>-9.8613002451883744</v>
      </c>
      <c r="S195" s="113">
        <v>-3.1261460112887107E-2</v>
      </c>
      <c r="T195" s="113">
        <v>-7.022680554064749</v>
      </c>
      <c r="U195" s="113">
        <v>1.6457109367101737</v>
      </c>
      <c r="V195" s="113">
        <v>2.5425024502259816</v>
      </c>
      <c r="W195" s="113">
        <v>-3.4604061661920014</v>
      </c>
      <c r="X195" s="113">
        <v>-2.9767360556653841</v>
      </c>
      <c r="Y195" s="113">
        <v>1.2562537241178973</v>
      </c>
      <c r="Z195" s="113">
        <v>2.3675693109084932</v>
      </c>
      <c r="AA195" s="113">
        <v>-2.2045946810761734</v>
      </c>
      <c r="AB195" s="113">
        <v>1.4196114904657122</v>
      </c>
    </row>
    <row r="196" spans="1:28" ht="9" customHeight="1" x14ac:dyDescent="0.25">
      <c r="A196" s="93">
        <v>193</v>
      </c>
      <c r="D196" s="119"/>
      <c r="E196" s="119"/>
      <c r="F196" s="120">
        <v>0</v>
      </c>
      <c r="G196" s="120">
        <v>0</v>
      </c>
      <c r="H196" s="120">
        <v>0</v>
      </c>
      <c r="I196" s="120">
        <v>0</v>
      </c>
      <c r="J196" s="120">
        <v>0</v>
      </c>
      <c r="K196" s="120">
        <v>0</v>
      </c>
      <c r="L196" s="120">
        <v>0</v>
      </c>
      <c r="M196" s="120">
        <v>0</v>
      </c>
      <c r="N196" s="120">
        <v>0</v>
      </c>
      <c r="O196" s="120">
        <v>0</v>
      </c>
      <c r="P196" s="120">
        <v>0</v>
      </c>
      <c r="Q196" s="120">
        <v>0</v>
      </c>
      <c r="R196" s="120">
        <v>0</v>
      </c>
      <c r="S196" s="120">
        <v>0</v>
      </c>
      <c r="T196" s="120">
        <v>0</v>
      </c>
      <c r="U196" s="120">
        <v>0</v>
      </c>
      <c r="V196" s="120">
        <v>0</v>
      </c>
      <c r="W196" s="120">
        <v>0</v>
      </c>
      <c r="X196" s="120">
        <v>0</v>
      </c>
      <c r="Y196" s="120">
        <v>0</v>
      </c>
      <c r="Z196" s="120">
        <v>0</v>
      </c>
      <c r="AA196" s="120">
        <v>0</v>
      </c>
      <c r="AB196" s="120">
        <v>0</v>
      </c>
    </row>
    <row r="197" spans="1:28" ht="35.1" customHeight="1" x14ac:dyDescent="0.3">
      <c r="A197" s="93">
        <v>194</v>
      </c>
      <c r="B197" s="107" t="s">
        <v>34</v>
      </c>
      <c r="C197" s="108"/>
      <c r="D197" s="108"/>
      <c r="F197" s="111"/>
      <c r="G197" s="111"/>
      <c r="H197" s="111"/>
      <c r="I197" s="111"/>
      <c r="J197" s="111"/>
      <c r="K197" s="111"/>
      <c r="L197" s="111"/>
      <c r="M197" s="111"/>
      <c r="N197" s="111"/>
      <c r="O197" s="111"/>
      <c r="P197" s="111"/>
      <c r="Q197" s="111"/>
      <c r="R197" s="111"/>
      <c r="S197" s="111"/>
      <c r="T197" s="111"/>
      <c r="U197" s="111"/>
      <c r="V197" s="111"/>
      <c r="W197" s="111"/>
      <c r="X197" s="111"/>
      <c r="Y197" s="111"/>
      <c r="Z197" s="111"/>
      <c r="AA197" s="111"/>
      <c r="AB197" s="111"/>
    </row>
    <row r="198" spans="1:28" ht="26.1" customHeight="1" x14ac:dyDescent="0.3">
      <c r="A198" s="93">
        <v>195</v>
      </c>
      <c r="B198" s="108"/>
      <c r="C198" s="110" t="s">
        <v>11</v>
      </c>
      <c r="D198" s="110"/>
      <c r="F198" s="111"/>
      <c r="G198" s="111"/>
      <c r="H198" s="111"/>
      <c r="I198" s="111"/>
      <c r="J198" s="111"/>
      <c r="K198" s="111"/>
      <c r="L198" s="111"/>
      <c r="M198" s="111"/>
      <c r="N198" s="111"/>
      <c r="O198" s="111"/>
      <c r="P198" s="111"/>
      <c r="Q198" s="111"/>
      <c r="R198" s="111"/>
      <c r="S198" s="111"/>
      <c r="T198" s="111"/>
      <c r="U198" s="111"/>
      <c r="V198" s="111"/>
      <c r="W198" s="111"/>
      <c r="X198" s="111"/>
      <c r="Y198" s="111"/>
      <c r="Z198" s="111"/>
      <c r="AA198" s="111"/>
      <c r="AB198" s="111"/>
    </row>
    <row r="199" spans="1:28" ht="18" customHeight="1" x14ac:dyDescent="0.25">
      <c r="A199" s="93">
        <v>196</v>
      </c>
      <c r="D199" s="112" t="s">
        <v>13</v>
      </c>
      <c r="E199" s="112" t="s">
        <v>35</v>
      </c>
      <c r="F199" s="113">
        <f>F200+F201+F205+F206</f>
        <v>844.62032689999876</v>
      </c>
      <c r="G199" s="113">
        <f t="shared" ref="G199:W199" si="208">G200+G201+G205+G206</f>
        <v>2238.336430710001</v>
      </c>
      <c r="H199" s="113">
        <f t="shared" si="208"/>
        <v>1756.0146828599957</v>
      </c>
      <c r="I199" s="113">
        <f t="shared" si="208"/>
        <v>927.71844082000666</v>
      </c>
      <c r="J199" s="113">
        <f t="shared" si="208"/>
        <v>2423.3742124099999</v>
      </c>
      <c r="K199" s="113">
        <f t="shared" si="208"/>
        <v>2636.8314885099967</v>
      </c>
      <c r="L199" s="113">
        <f t="shared" si="208"/>
        <v>-1293.5683950799996</v>
      </c>
      <c r="M199" s="113">
        <f t="shared" si="208"/>
        <v>212.61629079000323</v>
      </c>
      <c r="N199" s="113">
        <f t="shared" si="208"/>
        <v>-955.54653449000011</v>
      </c>
      <c r="O199" s="113">
        <f t="shared" si="208"/>
        <v>-148.50137561000156</v>
      </c>
      <c r="P199" s="113">
        <f t="shared" si="208"/>
        <v>945.5057960699977</v>
      </c>
      <c r="Q199" s="113">
        <f t="shared" si="208"/>
        <v>1477.9608426499997</v>
      </c>
      <c r="R199" s="113">
        <f t="shared" si="208"/>
        <v>493.73177765000617</v>
      </c>
      <c r="S199" s="113">
        <f t="shared" si="208"/>
        <v>1760.8172754999987</v>
      </c>
      <c r="T199" s="113">
        <f t="shared" si="208"/>
        <v>3204.6561946699926</v>
      </c>
      <c r="U199" s="113">
        <f t="shared" si="208"/>
        <v>-365.6724383300018</v>
      </c>
      <c r="V199" s="113">
        <f t="shared" si="208"/>
        <v>-4603.4829720499911</v>
      </c>
      <c r="W199" s="113">
        <f t="shared" si="208"/>
        <v>1771.702804470006</v>
      </c>
      <c r="X199" s="113">
        <f t="shared" ref="X199:Y199" si="209">X200+X201+X205+X206</f>
        <v>5656.5292673499889</v>
      </c>
      <c r="Y199" s="113">
        <f t="shared" si="209"/>
        <v>1258.300448869998</v>
      </c>
      <c r="Z199" s="113">
        <f t="shared" ref="Z199:AA199" si="210">Z200+Z201+Z205+Z206</f>
        <v>-884.1219589235991</v>
      </c>
      <c r="AA199" s="113">
        <f t="shared" si="210"/>
        <v>753.12464150645042</v>
      </c>
      <c r="AB199" s="113">
        <f t="shared" ref="AB199" si="211">AB200+AB201+AB205+AB206</f>
        <v>1033.0059434920915</v>
      </c>
    </row>
    <row r="200" spans="1:28" x14ac:dyDescent="0.25">
      <c r="A200" s="93">
        <v>197</v>
      </c>
      <c r="D200" s="114" t="s">
        <v>14</v>
      </c>
      <c r="E200" s="114" t="s">
        <v>23</v>
      </c>
      <c r="F200" s="118">
        <v>77.728320909998729</v>
      </c>
      <c r="G200" s="118">
        <v>17.778776930001186</v>
      </c>
      <c r="H200" s="118">
        <v>119.67436472999543</v>
      </c>
      <c r="I200" s="118">
        <v>122.1117751600068</v>
      </c>
      <c r="J200" s="118">
        <v>111.08655605999957</v>
      </c>
      <c r="K200" s="118">
        <v>208.2726372099969</v>
      </c>
      <c r="L200" s="118">
        <v>83.391192020000744</v>
      </c>
      <c r="M200" s="118">
        <v>221.20013075000315</v>
      </c>
      <c r="N200" s="118">
        <v>208.73117585</v>
      </c>
      <c r="O200" s="118">
        <v>964.32790626999849</v>
      </c>
      <c r="P200" s="118">
        <v>672.55071757999758</v>
      </c>
      <c r="Q200" s="118">
        <v>827.38080208999963</v>
      </c>
      <c r="R200" s="118">
        <v>-470.24445129999367</v>
      </c>
      <c r="S200" s="118">
        <v>-325.20839333000185</v>
      </c>
      <c r="T200" s="118">
        <v>-127.15119753000909</v>
      </c>
      <c r="U200" s="118">
        <v>251.04059661000065</v>
      </c>
      <c r="V200" s="118">
        <v>-6874.3471701135713</v>
      </c>
      <c r="W200" s="118">
        <v>269.72623209358426</v>
      </c>
      <c r="X200" s="118">
        <v>7252.9647981503804</v>
      </c>
      <c r="Y200" s="118">
        <v>367.14770539384335</v>
      </c>
      <c r="Z200" s="118">
        <v>-2562.1300268035702</v>
      </c>
      <c r="AA200" s="118">
        <v>1071.2775638533712</v>
      </c>
      <c r="AB200" s="118">
        <v>2297.4698546785585</v>
      </c>
    </row>
    <row r="201" spans="1:28" x14ac:dyDescent="0.25">
      <c r="A201" s="93">
        <v>198</v>
      </c>
      <c r="D201" s="114" t="s">
        <v>15</v>
      </c>
      <c r="E201" s="114" t="s">
        <v>0</v>
      </c>
      <c r="F201" s="116">
        <f>SUM(F202:F204)</f>
        <v>766.89200599000003</v>
      </c>
      <c r="G201" s="116">
        <f t="shared" ref="G201:W201" si="212">SUM(G202:G204)</f>
        <v>2220.5576537799998</v>
      </c>
      <c r="H201" s="116">
        <f t="shared" si="212"/>
        <v>1636.3403181300002</v>
      </c>
      <c r="I201" s="116">
        <f t="shared" si="212"/>
        <v>805.60666565999986</v>
      </c>
      <c r="J201" s="116">
        <f t="shared" si="212"/>
        <v>2312.2876563500004</v>
      </c>
      <c r="K201" s="116">
        <f t="shared" si="212"/>
        <v>2428.5588512999998</v>
      </c>
      <c r="L201" s="116">
        <f t="shared" si="212"/>
        <v>-1376.9595871000004</v>
      </c>
      <c r="M201" s="116">
        <f t="shared" si="212"/>
        <v>-8.5838399599999207</v>
      </c>
      <c r="N201" s="116">
        <f t="shared" si="212"/>
        <v>-1164.2777103400001</v>
      </c>
      <c r="O201" s="116">
        <f t="shared" si="212"/>
        <v>-1112.8292818800001</v>
      </c>
      <c r="P201" s="116">
        <f t="shared" si="212"/>
        <v>272.95507849000012</v>
      </c>
      <c r="Q201" s="116">
        <f t="shared" si="212"/>
        <v>650.58004056000004</v>
      </c>
      <c r="R201" s="116">
        <f t="shared" si="212"/>
        <v>963.97622894999984</v>
      </c>
      <c r="S201" s="116">
        <f t="shared" si="212"/>
        <v>2086.0256688300005</v>
      </c>
      <c r="T201" s="116">
        <f t="shared" si="212"/>
        <v>3331.8073922000017</v>
      </c>
      <c r="U201" s="116">
        <f t="shared" si="212"/>
        <v>-616.71303494000244</v>
      </c>
      <c r="V201" s="116">
        <f t="shared" si="212"/>
        <v>2270.8641980635803</v>
      </c>
      <c r="W201" s="116">
        <f t="shared" si="212"/>
        <v>1501.9765723764217</v>
      </c>
      <c r="X201" s="116">
        <f t="shared" ref="X201:Y201" si="213">SUM(X202:X204)</f>
        <v>-1596.4355308003912</v>
      </c>
      <c r="Y201" s="116">
        <f t="shared" si="213"/>
        <v>891.15274347615468</v>
      </c>
      <c r="Z201" s="116">
        <f t="shared" ref="Z201:AA201" si="214">SUM(Z202:Z204)</f>
        <v>1678.0080678799711</v>
      </c>
      <c r="AA201" s="116">
        <f t="shared" si="214"/>
        <v>-318.15292234692083</v>
      </c>
      <c r="AB201" s="116">
        <f t="shared" ref="AB201" si="215">SUM(AB202:AB204)</f>
        <v>-1264.4639111864669</v>
      </c>
    </row>
    <row r="202" spans="1:28" x14ac:dyDescent="0.25">
      <c r="A202" s="93">
        <v>199</v>
      </c>
      <c r="D202" s="117" t="s">
        <v>26</v>
      </c>
      <c r="E202" s="117" t="s">
        <v>25</v>
      </c>
      <c r="F202" s="118">
        <v>701.68779989999996</v>
      </c>
      <c r="G202" s="118">
        <v>2220.20141771</v>
      </c>
      <c r="H202" s="118">
        <v>1602.13203686</v>
      </c>
      <c r="I202" s="118">
        <v>704.03973881999991</v>
      </c>
      <c r="J202" s="118">
        <v>2228.1719114100001</v>
      </c>
      <c r="K202" s="118">
        <v>2404.0132225099997</v>
      </c>
      <c r="L202" s="118">
        <v>-1442.0676610800003</v>
      </c>
      <c r="M202" s="118">
        <v>-94.260632209999983</v>
      </c>
      <c r="N202" s="118">
        <v>-1226.77198049</v>
      </c>
      <c r="O202" s="118">
        <v>-1212.68286061</v>
      </c>
      <c r="P202" s="118">
        <v>78.987643069999962</v>
      </c>
      <c r="Q202" s="118">
        <v>397.40807365000006</v>
      </c>
      <c r="R202" s="118">
        <v>893.83712464999996</v>
      </c>
      <c r="S202" s="118">
        <v>2060.7340144</v>
      </c>
      <c r="T202" s="118">
        <v>3208.0586928700018</v>
      </c>
      <c r="U202" s="118">
        <v>-742.97876074000283</v>
      </c>
      <c r="V202" s="118">
        <v>2182.757663620001</v>
      </c>
      <c r="W202" s="118">
        <v>1428.3302568400018</v>
      </c>
      <c r="X202" s="118">
        <v>-1694.3950905300001</v>
      </c>
      <c r="Y202" s="118">
        <v>825.17890731999796</v>
      </c>
      <c r="Z202" s="118">
        <v>1608.152652640001</v>
      </c>
      <c r="AA202" s="118">
        <v>-336.4244497200018</v>
      </c>
      <c r="AB202" s="118">
        <v>-1468.9918383399963</v>
      </c>
    </row>
    <row r="203" spans="1:28" x14ac:dyDescent="0.25">
      <c r="A203" s="93">
        <v>200</v>
      </c>
      <c r="D203" s="117" t="s">
        <v>16</v>
      </c>
      <c r="E203" s="117" t="s">
        <v>27</v>
      </c>
      <c r="F203" s="118">
        <v>-0.39323899999988043</v>
      </c>
      <c r="G203" s="118">
        <v>-1.159324000000197</v>
      </c>
      <c r="H203" s="118">
        <v>2.9202200000001994</v>
      </c>
      <c r="I203" s="118">
        <v>18.644733999999971</v>
      </c>
      <c r="J203" s="118">
        <v>6.2044939999998405</v>
      </c>
      <c r="K203" s="118">
        <v>-18.900515999999925</v>
      </c>
      <c r="L203" s="118">
        <v>-5.7987820000000738</v>
      </c>
      <c r="M203" s="118">
        <v>8.9929990000000544</v>
      </c>
      <c r="N203" s="118">
        <v>7.6253169999999955</v>
      </c>
      <c r="O203" s="118">
        <v>-5.7770390000000589</v>
      </c>
      <c r="P203" s="118">
        <v>68.240576000000146</v>
      </c>
      <c r="Q203" s="118">
        <v>55.737956000000075</v>
      </c>
      <c r="R203" s="118">
        <v>-14.501654000000144</v>
      </c>
      <c r="S203" s="118">
        <v>-33.772073999999748</v>
      </c>
      <c r="T203" s="118">
        <v>-37.538669000000027</v>
      </c>
      <c r="U203" s="118">
        <v>6.4249700000000303</v>
      </c>
      <c r="V203" s="118">
        <v>-0.30414599999994607</v>
      </c>
      <c r="W203" s="118">
        <v>-20.953254000000015</v>
      </c>
      <c r="X203" s="118">
        <v>-2.1394970000001194</v>
      </c>
      <c r="Y203" s="118">
        <v>-24.017844</v>
      </c>
      <c r="Z203" s="118">
        <v>-1.880358</v>
      </c>
      <c r="AA203" s="118">
        <v>4.0843040000000004</v>
      </c>
      <c r="AB203" s="118">
        <v>14.472860000000001</v>
      </c>
    </row>
    <row r="204" spans="1:28" x14ac:dyDescent="0.25">
      <c r="A204" s="93">
        <v>201</v>
      </c>
      <c r="D204" s="117" t="s">
        <v>36</v>
      </c>
      <c r="E204" s="117" t="s">
        <v>28</v>
      </c>
      <c r="F204" s="118">
        <v>65.597445089999965</v>
      </c>
      <c r="G204" s="118">
        <v>1.5155600699999618</v>
      </c>
      <c r="H204" s="118">
        <v>31.288061270000071</v>
      </c>
      <c r="I204" s="118">
        <v>82.92219283999998</v>
      </c>
      <c r="J204" s="118">
        <v>77.911250940000173</v>
      </c>
      <c r="K204" s="118">
        <v>43.446144789999835</v>
      </c>
      <c r="L204" s="118">
        <v>70.906855980000046</v>
      </c>
      <c r="M204" s="118">
        <v>76.683793250000008</v>
      </c>
      <c r="N204" s="118">
        <v>54.868953149999925</v>
      </c>
      <c r="O204" s="118">
        <v>105.63061773000004</v>
      </c>
      <c r="P204" s="118">
        <v>125.72685941999998</v>
      </c>
      <c r="Q204" s="118">
        <v>197.43401090999987</v>
      </c>
      <c r="R204" s="118">
        <v>84.640758300000016</v>
      </c>
      <c r="S204" s="118">
        <v>59.06372843000031</v>
      </c>
      <c r="T204" s="118">
        <v>161.28736832999994</v>
      </c>
      <c r="U204" s="118">
        <v>119.84075580000035</v>
      </c>
      <c r="V204" s="118">
        <v>88.410680443579167</v>
      </c>
      <c r="W204" s="118">
        <v>94.599569536419949</v>
      </c>
      <c r="X204" s="118">
        <v>100.09905672960895</v>
      </c>
      <c r="Y204" s="118">
        <v>89.99168015615669</v>
      </c>
      <c r="Z204" s="118">
        <v>71.735773239970058</v>
      </c>
      <c r="AA204" s="118">
        <v>14.187223373080997</v>
      </c>
      <c r="AB204" s="118">
        <v>190.05506715352931</v>
      </c>
    </row>
    <row r="205" spans="1:28" x14ac:dyDescent="0.25">
      <c r="A205" s="93">
        <v>202</v>
      </c>
      <c r="D205" s="114" t="s">
        <v>1</v>
      </c>
      <c r="E205" s="114" t="s">
        <v>29</v>
      </c>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row>
    <row r="206" spans="1:28" x14ac:dyDescent="0.25">
      <c r="A206" s="93">
        <v>203</v>
      </c>
      <c r="D206" s="114" t="s">
        <v>30</v>
      </c>
      <c r="E206" s="114" t="s">
        <v>31</v>
      </c>
      <c r="F206" s="116">
        <v>0</v>
      </c>
      <c r="G206" s="116">
        <v>0</v>
      </c>
      <c r="H206" s="116">
        <v>0</v>
      </c>
      <c r="I206" s="116">
        <v>0</v>
      </c>
      <c r="J206" s="116">
        <v>0</v>
      </c>
      <c r="K206" s="116">
        <v>0</v>
      </c>
      <c r="L206" s="116">
        <v>0</v>
      </c>
      <c r="M206" s="116">
        <v>0</v>
      </c>
      <c r="N206" s="116">
        <v>0</v>
      </c>
      <c r="O206" s="116">
        <v>0</v>
      </c>
      <c r="P206" s="116">
        <v>0</v>
      </c>
      <c r="Q206" s="116">
        <v>0</v>
      </c>
      <c r="R206" s="116">
        <v>0</v>
      </c>
      <c r="S206" s="116">
        <v>0</v>
      </c>
      <c r="T206" s="116">
        <v>0</v>
      </c>
      <c r="U206" s="116">
        <v>0</v>
      </c>
      <c r="V206" s="116">
        <v>0</v>
      </c>
      <c r="W206" s="116">
        <v>0</v>
      </c>
      <c r="X206" s="116">
        <v>0</v>
      </c>
      <c r="Y206" s="116">
        <v>0</v>
      </c>
      <c r="Z206" s="116">
        <v>0</v>
      </c>
      <c r="AA206" s="116">
        <v>0</v>
      </c>
      <c r="AB206" s="116">
        <v>0</v>
      </c>
    </row>
    <row r="207" spans="1:28" ht="15.75" x14ac:dyDescent="0.25">
      <c r="A207" s="93">
        <v>204</v>
      </c>
      <c r="D207" s="112" t="s">
        <v>19</v>
      </c>
      <c r="E207" s="112" t="s">
        <v>22</v>
      </c>
      <c r="F207" s="113">
        <v>3.108285</v>
      </c>
      <c r="G207" s="113">
        <v>0</v>
      </c>
      <c r="H207" s="113">
        <v>1.3022999999999998</v>
      </c>
      <c r="I207" s="113">
        <v>0</v>
      </c>
      <c r="J207" s="113">
        <v>0</v>
      </c>
      <c r="K207" s="113">
        <v>-3.2088580219780192</v>
      </c>
      <c r="L207" s="113">
        <v>0.53412482608695677</v>
      </c>
      <c r="M207" s="113">
        <v>0</v>
      </c>
      <c r="N207" s="113">
        <v>-0.11397100000000027</v>
      </c>
      <c r="O207" s="113">
        <v>8.7922999999999973E-2</v>
      </c>
      <c r="P207" s="113">
        <v>9.273830608695647</v>
      </c>
      <c r="Q207" s="113">
        <v>1.5482608695652178</v>
      </c>
      <c r="R207" s="113">
        <v>-1.4317180000000018</v>
      </c>
      <c r="S207" s="113">
        <v>-8.0892000000000408E-2</v>
      </c>
      <c r="T207" s="113">
        <v>-1.4338339130434781</v>
      </c>
      <c r="U207" s="113">
        <v>-1.4348524347826077</v>
      </c>
      <c r="V207" s="113">
        <v>-0.5322413406593407</v>
      </c>
      <c r="W207" s="113">
        <v>0.53316210989011004</v>
      </c>
      <c r="X207" s="113">
        <v>-0.35213282608695645</v>
      </c>
      <c r="Y207" s="113">
        <v>0.72185756521739108</v>
      </c>
      <c r="Z207" s="113">
        <v>0</v>
      </c>
      <c r="AA207" s="113">
        <v>-0.17275332967032977</v>
      </c>
      <c r="AB207" s="113">
        <v>11.422806304347823</v>
      </c>
    </row>
    <row r="208" spans="1:28" ht="17.25" customHeight="1" x14ac:dyDescent="0.25">
      <c r="A208" s="93">
        <v>205</v>
      </c>
      <c r="D208" s="119"/>
      <c r="E208" s="119"/>
      <c r="F208" s="120">
        <v>0</v>
      </c>
      <c r="G208" s="120">
        <v>0</v>
      </c>
      <c r="H208" s="120">
        <v>0</v>
      </c>
      <c r="I208" s="120">
        <v>0</v>
      </c>
      <c r="J208" s="120">
        <v>0</v>
      </c>
      <c r="K208" s="120">
        <v>0</v>
      </c>
      <c r="L208" s="120">
        <v>0</v>
      </c>
      <c r="M208" s="120">
        <v>0</v>
      </c>
      <c r="N208" s="120">
        <v>0</v>
      </c>
      <c r="O208" s="120">
        <v>0</v>
      </c>
      <c r="P208" s="120">
        <v>0</v>
      </c>
      <c r="Q208" s="120">
        <v>0</v>
      </c>
      <c r="R208" s="120">
        <v>0</v>
      </c>
      <c r="S208" s="120">
        <v>0</v>
      </c>
      <c r="T208" s="120">
        <v>0</v>
      </c>
      <c r="U208" s="120">
        <v>0</v>
      </c>
      <c r="V208" s="120">
        <v>0</v>
      </c>
      <c r="W208" s="120">
        <v>0</v>
      </c>
      <c r="X208" s="120">
        <v>0</v>
      </c>
      <c r="Y208" s="120">
        <v>0</v>
      </c>
      <c r="Z208" s="120">
        <v>0</v>
      </c>
      <c r="AA208" s="120">
        <v>0</v>
      </c>
      <c r="AB208" s="120">
        <v>0</v>
      </c>
    </row>
    <row r="209" spans="1:28" ht="26.1" customHeight="1" x14ac:dyDescent="0.3">
      <c r="A209" s="93">
        <v>206</v>
      </c>
      <c r="B209" s="108"/>
      <c r="C209" s="110" t="s">
        <v>6</v>
      </c>
      <c r="D209" s="110"/>
      <c r="F209" s="111"/>
      <c r="G209" s="111"/>
      <c r="H209" s="111"/>
      <c r="I209" s="111"/>
      <c r="J209" s="111"/>
      <c r="K209" s="111"/>
      <c r="L209" s="111"/>
      <c r="M209" s="111"/>
      <c r="N209" s="111"/>
      <c r="O209" s="111"/>
      <c r="P209" s="111"/>
      <c r="Q209" s="111"/>
      <c r="R209" s="111"/>
      <c r="S209" s="111"/>
      <c r="T209" s="111"/>
      <c r="U209" s="111"/>
      <c r="V209" s="111"/>
      <c r="W209" s="111"/>
      <c r="X209" s="111"/>
      <c r="Y209" s="111"/>
      <c r="Z209" s="111"/>
      <c r="AA209" s="111"/>
      <c r="AB209" s="111"/>
    </row>
    <row r="210" spans="1:28" ht="18" customHeight="1" x14ac:dyDescent="0.25">
      <c r="A210" s="93">
        <v>207</v>
      </c>
      <c r="D210" s="112" t="s">
        <v>13</v>
      </c>
      <c r="E210" s="112" t="s">
        <v>35</v>
      </c>
      <c r="F210" s="113">
        <f>F211+F212+F216+F217</f>
        <v>-5.5576680000000005</v>
      </c>
      <c r="G210" s="113">
        <f t="shared" ref="G210:W210" si="216">G211+G212+G216+G217</f>
        <v>150.10079899999999</v>
      </c>
      <c r="H210" s="113">
        <f t="shared" si="216"/>
        <v>92.957583999999997</v>
      </c>
      <c r="I210" s="113">
        <f t="shared" si="216"/>
        <v>171.65789000000001</v>
      </c>
      <c r="J210" s="113">
        <f t="shared" si="216"/>
        <v>49.973943999999975</v>
      </c>
      <c r="K210" s="113">
        <f t="shared" si="216"/>
        <v>-7.3848569999999869</v>
      </c>
      <c r="L210" s="113">
        <f t="shared" si="216"/>
        <v>-46.858241999999997</v>
      </c>
      <c r="M210" s="113">
        <f t="shared" si="216"/>
        <v>240.18375700000001</v>
      </c>
      <c r="N210" s="113">
        <f t="shared" si="216"/>
        <v>19.625198000000086</v>
      </c>
      <c r="O210" s="113">
        <f t="shared" si="216"/>
        <v>-18.568077000000081</v>
      </c>
      <c r="P210" s="113">
        <f t="shared" si="216"/>
        <v>12.292509000000015</v>
      </c>
      <c r="Q210" s="113">
        <f t="shared" si="216"/>
        <v>11.93533799999998</v>
      </c>
      <c r="R210" s="113">
        <f t="shared" si="216"/>
        <v>-19.006863999999986</v>
      </c>
      <c r="S210" s="113">
        <f t="shared" si="216"/>
        <v>-17.793015220000026</v>
      </c>
      <c r="T210" s="113">
        <f t="shared" si="216"/>
        <v>-18.860250430000061</v>
      </c>
      <c r="U210" s="113">
        <f t="shared" si="216"/>
        <v>265.10452085000003</v>
      </c>
      <c r="V210" s="113">
        <f t="shared" si="216"/>
        <v>-48.586645419999826</v>
      </c>
      <c r="W210" s="113">
        <f t="shared" si="216"/>
        <v>-44.989821060000182</v>
      </c>
      <c r="X210" s="113">
        <f t="shared" ref="X210:Y210" si="217">X211+X212+X216+X217</f>
        <v>-28.370644259999985</v>
      </c>
      <c r="Y210" s="113">
        <f t="shared" si="217"/>
        <v>289.23517603999994</v>
      </c>
      <c r="Z210" s="113">
        <f t="shared" ref="Z210:AA210" si="218">Z211+Z212+Z216+Z217</f>
        <v>-72.462657659999962</v>
      </c>
      <c r="AA210" s="113">
        <f t="shared" si="218"/>
        <v>-33.907947049999947</v>
      </c>
      <c r="AB210" s="113">
        <f t="shared" ref="AB210" si="219">AB211+AB212+AB216+AB217</f>
        <v>-47.443991240000088</v>
      </c>
    </row>
    <row r="211" spans="1:28" x14ac:dyDescent="0.25">
      <c r="A211" s="93">
        <v>208</v>
      </c>
      <c r="D211" s="114" t="s">
        <v>14</v>
      </c>
      <c r="E211" s="114" t="s">
        <v>23</v>
      </c>
      <c r="F211" s="116">
        <v>0</v>
      </c>
      <c r="G211" s="116">
        <v>0</v>
      </c>
      <c r="H211" s="116">
        <v>0</v>
      </c>
      <c r="I211" s="116">
        <v>0</v>
      </c>
      <c r="J211" s="116">
        <v>0</v>
      </c>
      <c r="K211" s="116">
        <v>0</v>
      </c>
      <c r="L211" s="116">
        <v>0</v>
      </c>
      <c r="M211" s="116">
        <v>0</v>
      </c>
      <c r="N211" s="116">
        <v>0</v>
      </c>
      <c r="O211" s="116">
        <v>0</v>
      </c>
      <c r="P211" s="116">
        <v>0</v>
      </c>
      <c r="Q211" s="116">
        <v>0</v>
      </c>
      <c r="R211" s="116">
        <v>0</v>
      </c>
      <c r="S211" s="116">
        <v>0</v>
      </c>
      <c r="T211" s="116">
        <v>0</v>
      </c>
      <c r="U211" s="116">
        <v>0</v>
      </c>
      <c r="V211" s="116">
        <v>0</v>
      </c>
      <c r="W211" s="116">
        <v>0</v>
      </c>
      <c r="X211" s="116">
        <v>0</v>
      </c>
      <c r="Y211" s="116">
        <v>0</v>
      </c>
      <c r="Z211" s="116">
        <v>0</v>
      </c>
      <c r="AA211" s="116">
        <v>0</v>
      </c>
      <c r="AB211" s="116">
        <v>0</v>
      </c>
    </row>
    <row r="212" spans="1:28" x14ac:dyDescent="0.25">
      <c r="A212" s="93">
        <v>209</v>
      </c>
      <c r="D212" s="114" t="s">
        <v>15</v>
      </c>
      <c r="E212" s="114" t="s">
        <v>0</v>
      </c>
      <c r="F212" s="116">
        <f>SUM(F213:F215)</f>
        <v>-5.5576680000000005</v>
      </c>
      <c r="G212" s="116">
        <f t="shared" ref="G212:W212" si="220">SUM(G213:G215)</f>
        <v>150.10079899999999</v>
      </c>
      <c r="H212" s="116">
        <f t="shared" si="220"/>
        <v>92.957583999999997</v>
      </c>
      <c r="I212" s="116">
        <f t="shared" si="220"/>
        <v>171.65789000000001</v>
      </c>
      <c r="J212" s="116">
        <f t="shared" si="220"/>
        <v>49.973943999999975</v>
      </c>
      <c r="K212" s="116">
        <f t="shared" si="220"/>
        <v>-7.3848569999999869</v>
      </c>
      <c r="L212" s="116">
        <f t="shared" si="220"/>
        <v>-46.858241999999997</v>
      </c>
      <c r="M212" s="116">
        <f t="shared" si="220"/>
        <v>240.18375700000001</v>
      </c>
      <c r="N212" s="116">
        <f t="shared" si="220"/>
        <v>19.625198000000086</v>
      </c>
      <c r="O212" s="116">
        <f t="shared" si="220"/>
        <v>-18.568077000000081</v>
      </c>
      <c r="P212" s="116">
        <f t="shared" si="220"/>
        <v>12.292509000000015</v>
      </c>
      <c r="Q212" s="116">
        <f t="shared" si="220"/>
        <v>11.93533799999998</v>
      </c>
      <c r="R212" s="116">
        <f t="shared" si="220"/>
        <v>-19.006863999999986</v>
      </c>
      <c r="S212" s="116">
        <f t="shared" si="220"/>
        <v>-17.793015220000026</v>
      </c>
      <c r="T212" s="116">
        <f t="shared" si="220"/>
        <v>-18.860250430000061</v>
      </c>
      <c r="U212" s="116">
        <f t="shared" si="220"/>
        <v>265.10452085000003</v>
      </c>
      <c r="V212" s="116">
        <f t="shared" si="220"/>
        <v>-48.586645419999826</v>
      </c>
      <c r="W212" s="116">
        <f t="shared" si="220"/>
        <v>-44.989821060000182</v>
      </c>
      <c r="X212" s="116">
        <f t="shared" ref="X212:Y212" si="221">SUM(X213:X215)</f>
        <v>-28.370644259999985</v>
      </c>
      <c r="Y212" s="116">
        <f t="shared" si="221"/>
        <v>289.23517603999994</v>
      </c>
      <c r="Z212" s="116">
        <f t="shared" ref="Z212:AA212" si="222">SUM(Z213:Z215)</f>
        <v>-72.462657659999962</v>
      </c>
      <c r="AA212" s="116">
        <f t="shared" si="222"/>
        <v>-33.907947049999947</v>
      </c>
      <c r="AB212" s="116">
        <f t="shared" ref="AB212" si="223">SUM(AB213:AB215)</f>
        <v>-47.443991240000088</v>
      </c>
    </row>
    <row r="213" spans="1:28" x14ac:dyDescent="0.25">
      <c r="A213" s="93">
        <v>210</v>
      </c>
      <c r="D213" s="117" t="s">
        <v>26</v>
      </c>
      <c r="E213" s="117" t="s">
        <v>25</v>
      </c>
      <c r="F213" s="118">
        <v>-5.5576680000000005</v>
      </c>
      <c r="G213" s="118">
        <v>150.10079899999999</v>
      </c>
      <c r="H213" s="118">
        <v>92.957583999999997</v>
      </c>
      <c r="I213" s="118">
        <v>171.65789000000001</v>
      </c>
      <c r="J213" s="118">
        <v>49.973943999999975</v>
      </c>
      <c r="K213" s="118">
        <v>-7.3848569999999869</v>
      </c>
      <c r="L213" s="118">
        <v>-46.858241999999997</v>
      </c>
      <c r="M213" s="118">
        <v>240.18375700000001</v>
      </c>
      <c r="N213" s="118">
        <v>19.625198000000086</v>
      </c>
      <c r="O213" s="118">
        <v>-18.568077000000081</v>
      </c>
      <c r="P213" s="118">
        <v>9.7930090000000156</v>
      </c>
      <c r="Q213" s="118">
        <v>14.43483799999998</v>
      </c>
      <c r="R213" s="118">
        <v>-19.027350999999985</v>
      </c>
      <c r="S213" s="118">
        <v>-17.772742220000026</v>
      </c>
      <c r="T213" s="118">
        <v>-18.860036430000061</v>
      </c>
      <c r="U213" s="118">
        <v>265.10452085000003</v>
      </c>
      <c r="V213" s="118">
        <v>-48.586645419999826</v>
      </c>
      <c r="W213" s="118">
        <v>-44.989821060000182</v>
      </c>
      <c r="X213" s="118">
        <v>-28.370644259999985</v>
      </c>
      <c r="Y213" s="118">
        <v>289.23517603999994</v>
      </c>
      <c r="Z213" s="118">
        <v>-72.462657659999962</v>
      </c>
      <c r="AA213" s="118">
        <v>-33.907947049999947</v>
      </c>
      <c r="AB213" s="118">
        <v>-47.443991240000088</v>
      </c>
    </row>
    <row r="214" spans="1:28" x14ac:dyDescent="0.25">
      <c r="A214" s="93">
        <v>211</v>
      </c>
      <c r="D214" s="117" t="s">
        <v>16</v>
      </c>
      <c r="E214" s="117" t="s">
        <v>27</v>
      </c>
      <c r="F214" s="118">
        <v>0</v>
      </c>
      <c r="G214" s="118">
        <v>0</v>
      </c>
      <c r="H214" s="118">
        <v>0</v>
      </c>
      <c r="I214" s="118">
        <v>0</v>
      </c>
      <c r="J214" s="118">
        <v>0</v>
      </c>
      <c r="K214" s="118">
        <v>0</v>
      </c>
      <c r="L214" s="118">
        <v>0</v>
      </c>
      <c r="M214" s="118">
        <v>0</v>
      </c>
      <c r="N214" s="118">
        <v>0</v>
      </c>
      <c r="O214" s="118">
        <v>0</v>
      </c>
      <c r="P214" s="118">
        <v>2.4994999999999998</v>
      </c>
      <c r="Q214" s="118">
        <v>-2.4994999999999998</v>
      </c>
      <c r="R214" s="118">
        <v>2.0487000000000002E-2</v>
      </c>
      <c r="S214" s="118">
        <v>-2.0273000000000003E-2</v>
      </c>
      <c r="T214" s="118">
        <v>-2.14E-4</v>
      </c>
      <c r="U214" s="118">
        <v>0</v>
      </c>
      <c r="V214" s="118">
        <v>0</v>
      </c>
      <c r="W214" s="118">
        <v>0</v>
      </c>
      <c r="X214" s="118">
        <v>0</v>
      </c>
      <c r="Y214" s="118">
        <v>0</v>
      </c>
      <c r="Z214" s="118">
        <v>0</v>
      </c>
      <c r="AA214" s="118">
        <v>0</v>
      </c>
      <c r="AB214" s="118">
        <v>0</v>
      </c>
    </row>
    <row r="215" spans="1:28" x14ac:dyDescent="0.25">
      <c r="A215" s="93">
        <v>212</v>
      </c>
      <c r="D215" s="117" t="s">
        <v>36</v>
      </c>
      <c r="E215" s="117" t="s">
        <v>28</v>
      </c>
      <c r="F215" s="118">
        <v>0</v>
      </c>
      <c r="G215" s="118">
        <v>0</v>
      </c>
      <c r="H215" s="118">
        <v>0</v>
      </c>
      <c r="I215" s="118">
        <v>0</v>
      </c>
      <c r="J215" s="118">
        <v>0</v>
      </c>
      <c r="K215" s="118">
        <v>0</v>
      </c>
      <c r="L215" s="118">
        <v>0</v>
      </c>
      <c r="M215" s="118">
        <v>0</v>
      </c>
      <c r="N215" s="118">
        <v>0</v>
      </c>
      <c r="O215" s="118">
        <v>0</v>
      </c>
      <c r="P215" s="118">
        <v>0</v>
      </c>
      <c r="Q215" s="118">
        <v>0</v>
      </c>
      <c r="R215" s="118">
        <v>0</v>
      </c>
      <c r="S215" s="118">
        <v>0</v>
      </c>
      <c r="T215" s="118">
        <v>0</v>
      </c>
      <c r="U215" s="118">
        <v>0</v>
      </c>
      <c r="V215" s="118">
        <v>0</v>
      </c>
      <c r="W215" s="118">
        <v>0</v>
      </c>
      <c r="X215" s="118">
        <v>0</v>
      </c>
      <c r="Y215" s="118">
        <v>0</v>
      </c>
      <c r="Z215" s="118">
        <v>0</v>
      </c>
      <c r="AA215" s="118">
        <v>0</v>
      </c>
      <c r="AB215" s="118">
        <v>0</v>
      </c>
    </row>
    <row r="216" spans="1:28" x14ac:dyDescent="0.25">
      <c r="A216" s="93">
        <v>213</v>
      </c>
      <c r="D216" s="114" t="s">
        <v>1</v>
      </c>
      <c r="E216" s="114" t="s">
        <v>29</v>
      </c>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row>
    <row r="217" spans="1:28" x14ac:dyDescent="0.25">
      <c r="A217" s="93">
        <v>214</v>
      </c>
      <c r="D217" s="114" t="s">
        <v>30</v>
      </c>
      <c r="E217" s="114" t="s">
        <v>31</v>
      </c>
      <c r="F217" s="116">
        <v>0</v>
      </c>
      <c r="G217" s="116">
        <v>0</v>
      </c>
      <c r="H217" s="116">
        <v>0</v>
      </c>
      <c r="I217" s="116">
        <v>0</v>
      </c>
      <c r="J217" s="116">
        <v>0</v>
      </c>
      <c r="K217" s="116">
        <v>0</v>
      </c>
      <c r="L217" s="116">
        <v>0</v>
      </c>
      <c r="M217" s="116">
        <v>0</v>
      </c>
      <c r="N217" s="116">
        <v>0</v>
      </c>
      <c r="O217" s="116">
        <v>0</v>
      </c>
      <c r="P217" s="116">
        <v>0</v>
      </c>
      <c r="Q217" s="116">
        <v>0</v>
      </c>
      <c r="R217" s="116">
        <v>0</v>
      </c>
      <c r="S217" s="116">
        <v>0</v>
      </c>
      <c r="T217" s="116">
        <v>0</v>
      </c>
      <c r="U217" s="116">
        <v>0</v>
      </c>
      <c r="V217" s="116">
        <v>0</v>
      </c>
      <c r="W217" s="116">
        <v>0</v>
      </c>
      <c r="X217" s="116">
        <v>0</v>
      </c>
      <c r="Y217" s="116">
        <v>0</v>
      </c>
      <c r="Z217" s="116">
        <v>0</v>
      </c>
      <c r="AA217" s="116">
        <v>0</v>
      </c>
      <c r="AB217" s="116">
        <v>0</v>
      </c>
    </row>
    <row r="218" spans="1:28" ht="15.75" x14ac:dyDescent="0.25">
      <c r="A218" s="93">
        <v>215</v>
      </c>
      <c r="D218" s="112" t="s">
        <v>19</v>
      </c>
      <c r="E218" s="112" t="s">
        <v>22</v>
      </c>
      <c r="F218" s="113">
        <v>-413.5437418681318</v>
      </c>
      <c r="G218" s="113">
        <v>4464.1770402417596</v>
      </c>
      <c r="H218" s="113">
        <v>347.1610959782609</v>
      </c>
      <c r="I218" s="113">
        <v>2807.958316086957</v>
      </c>
      <c r="J218" s="113">
        <v>196.78976249999997</v>
      </c>
      <c r="K218" s="113">
        <v>1549.3436149450538</v>
      </c>
      <c r="L218" s="113">
        <v>-366.05354747826101</v>
      </c>
      <c r="M218" s="113">
        <v>2816.7600140000013</v>
      </c>
      <c r="N218" s="113">
        <v>-134.44142502222221</v>
      </c>
      <c r="O218" s="113">
        <v>2962.6688908901101</v>
      </c>
      <c r="P218" s="113">
        <v>4840.7463729347801</v>
      </c>
      <c r="Q218" s="113">
        <v>5478.3275543478276</v>
      </c>
      <c r="R218" s="113">
        <v>2978.805029202882</v>
      </c>
      <c r="S218" s="113">
        <v>2053.0560126349205</v>
      </c>
      <c r="T218" s="113">
        <v>-2509.9501454656593</v>
      </c>
      <c r="U218" s="113">
        <v>5996.6634510822523</v>
      </c>
      <c r="V218" s="113">
        <v>-44.445781830998214</v>
      </c>
      <c r="W218" s="113">
        <v>-956.97214925377364</v>
      </c>
      <c r="X218" s="113">
        <v>3686.8197216014323</v>
      </c>
      <c r="Y218" s="113">
        <v>9371.5012157809724</v>
      </c>
      <c r="Z218" s="113">
        <v>-1277.9872092575988</v>
      </c>
      <c r="AA218" s="113">
        <v>3172.670340085177</v>
      </c>
      <c r="AB218" s="113">
        <v>1405.5252074268744</v>
      </c>
    </row>
    <row r="219" spans="1:28" ht="9" customHeight="1" x14ac:dyDescent="0.25">
      <c r="A219" s="93">
        <v>216</v>
      </c>
      <c r="D219" s="119"/>
      <c r="E219" s="119"/>
      <c r="F219" s="120">
        <v>0</v>
      </c>
      <c r="G219" s="120">
        <v>0</v>
      </c>
      <c r="H219" s="120">
        <v>0</v>
      </c>
      <c r="I219" s="120">
        <v>0</v>
      </c>
      <c r="J219" s="120">
        <v>0</v>
      </c>
      <c r="K219" s="120">
        <v>0</v>
      </c>
      <c r="L219" s="120">
        <v>0</v>
      </c>
      <c r="M219" s="120">
        <v>0</v>
      </c>
      <c r="N219" s="120">
        <v>0</v>
      </c>
      <c r="O219" s="120">
        <v>0</v>
      </c>
      <c r="P219" s="120">
        <v>0</v>
      </c>
      <c r="Q219" s="120">
        <v>0</v>
      </c>
      <c r="R219" s="120">
        <v>0</v>
      </c>
      <c r="S219" s="120">
        <v>0</v>
      </c>
      <c r="T219" s="120">
        <v>0</v>
      </c>
      <c r="U219" s="120">
        <v>0</v>
      </c>
      <c r="V219" s="120">
        <v>0</v>
      </c>
      <c r="W219" s="120">
        <v>0</v>
      </c>
      <c r="X219" s="120">
        <v>0</v>
      </c>
      <c r="Y219" s="120">
        <v>0</v>
      </c>
      <c r="Z219" s="120">
        <v>0</v>
      </c>
      <c r="AA219" s="120">
        <v>0</v>
      </c>
      <c r="AB219" s="120">
        <v>0</v>
      </c>
    </row>
    <row r="220" spans="1:28" ht="35.1" customHeight="1" x14ac:dyDescent="0.3">
      <c r="A220" s="93">
        <v>217</v>
      </c>
      <c r="B220" s="107" t="s">
        <v>37</v>
      </c>
      <c r="C220" s="108"/>
      <c r="D220" s="108"/>
      <c r="F220" s="111"/>
      <c r="G220" s="111"/>
      <c r="H220" s="111"/>
      <c r="I220" s="111"/>
      <c r="J220" s="111"/>
      <c r="K220" s="111"/>
      <c r="L220" s="111"/>
      <c r="M220" s="111"/>
      <c r="N220" s="111"/>
      <c r="O220" s="111"/>
      <c r="P220" s="111"/>
      <c r="Q220" s="111"/>
      <c r="R220" s="111"/>
      <c r="S220" s="111"/>
      <c r="T220" s="111"/>
      <c r="U220" s="111"/>
      <c r="V220" s="111"/>
      <c r="W220" s="111"/>
      <c r="X220" s="111"/>
      <c r="Y220" s="111"/>
      <c r="Z220" s="111"/>
      <c r="AA220" s="111"/>
      <c r="AB220" s="111"/>
    </row>
    <row r="221" spans="1:28" ht="26.1" customHeight="1" x14ac:dyDescent="0.3">
      <c r="A221" s="93">
        <v>218</v>
      </c>
      <c r="B221" s="108"/>
      <c r="C221" s="110" t="s">
        <v>6</v>
      </c>
      <c r="D221" s="110"/>
      <c r="F221" s="111"/>
      <c r="G221" s="111"/>
      <c r="H221" s="111"/>
      <c r="I221" s="111"/>
      <c r="J221" s="111"/>
      <c r="K221" s="111"/>
      <c r="L221" s="111"/>
      <c r="M221" s="111"/>
      <c r="N221" s="111"/>
      <c r="O221" s="111"/>
      <c r="P221" s="111"/>
      <c r="Q221" s="111"/>
      <c r="R221" s="111"/>
      <c r="S221" s="111"/>
      <c r="T221" s="111"/>
      <c r="U221" s="111"/>
      <c r="V221" s="111"/>
      <c r="W221" s="111"/>
      <c r="X221" s="111"/>
      <c r="Y221" s="111"/>
      <c r="Z221" s="111"/>
      <c r="AA221" s="111"/>
      <c r="AB221" s="111"/>
    </row>
    <row r="222" spans="1:28" ht="18" customHeight="1" x14ac:dyDescent="0.25">
      <c r="A222" s="93">
        <v>219</v>
      </c>
      <c r="D222" s="112" t="s">
        <v>13</v>
      </c>
      <c r="E222" s="112" t="s">
        <v>35</v>
      </c>
      <c r="F222" s="113">
        <f>F223+F224+F228+F229</f>
        <v>839.49086520491153</v>
      </c>
      <c r="G222" s="113">
        <f t="shared" ref="G222:W222" si="224">G223+G224+G228+G229</f>
        <v>-59.735955911727757</v>
      </c>
      <c r="H222" s="113">
        <f t="shared" si="224"/>
        <v>1114.5829526084249</v>
      </c>
      <c r="I222" s="113">
        <f t="shared" si="224"/>
        <v>321.37652038886415</v>
      </c>
      <c r="J222" s="113">
        <f t="shared" si="224"/>
        <v>1141.9241504407323</v>
      </c>
      <c r="K222" s="113">
        <f t="shared" si="224"/>
        <v>2472.0160762724454</v>
      </c>
      <c r="L222" s="113">
        <f t="shared" si="224"/>
        <v>3006.7893020419174</v>
      </c>
      <c r="M222" s="113">
        <f t="shared" si="224"/>
        <v>1730.5627000489851</v>
      </c>
      <c r="N222" s="113">
        <f t="shared" si="224"/>
        <v>1241.4949755574742</v>
      </c>
      <c r="O222" s="113">
        <f t="shared" si="224"/>
        <v>1487.0951686399703</v>
      </c>
      <c r="P222" s="113">
        <f t="shared" si="224"/>
        <v>147.97417654681999</v>
      </c>
      <c r="Q222" s="113">
        <f t="shared" si="224"/>
        <v>-949.06326531363743</v>
      </c>
      <c r="R222" s="113">
        <f t="shared" si="224"/>
        <v>-481.52526116147135</v>
      </c>
      <c r="S222" s="113">
        <f t="shared" si="224"/>
        <v>571.2397643934504</v>
      </c>
      <c r="T222" s="113">
        <f t="shared" si="224"/>
        <v>1151.6455774810315</v>
      </c>
      <c r="U222" s="113">
        <f t="shared" si="224"/>
        <v>26.712188385781928</v>
      </c>
      <c r="V222" s="113">
        <f t="shared" si="224"/>
        <v>898.54254280852365</v>
      </c>
      <c r="W222" s="113">
        <f t="shared" si="224"/>
        <v>2216.0167583175639</v>
      </c>
      <c r="X222" s="113">
        <f t="shared" ref="X222:Y222" si="225">X223+X224+X228+X229</f>
        <v>3402.4747191208412</v>
      </c>
      <c r="Y222" s="113">
        <f t="shared" si="225"/>
        <v>3364.9568462530324</v>
      </c>
      <c r="Z222" s="113">
        <f t="shared" ref="Z222:AA222" si="226">Z223+Z224+Z228+Z229</f>
        <v>3097.0582935936645</v>
      </c>
      <c r="AA222" s="113">
        <f t="shared" si="226"/>
        <v>3971.4958450811823</v>
      </c>
      <c r="AB222" s="113">
        <f t="shared" ref="AB222" si="227">AB223+AB224+AB228+AB229</f>
        <v>4029.6166016766219</v>
      </c>
    </row>
    <row r="223" spans="1:28" x14ac:dyDescent="0.25">
      <c r="A223" s="93">
        <v>220</v>
      </c>
      <c r="D223" s="114" t="s">
        <v>14</v>
      </c>
      <c r="E223" s="114" t="s">
        <v>23</v>
      </c>
      <c r="F223" s="116">
        <v>0</v>
      </c>
      <c r="G223" s="116">
        <v>0</v>
      </c>
      <c r="H223" s="116">
        <v>0</v>
      </c>
      <c r="I223" s="116">
        <v>0</v>
      </c>
      <c r="J223" s="116">
        <v>0</v>
      </c>
      <c r="K223" s="116">
        <v>0</v>
      </c>
      <c r="L223" s="116">
        <v>0</v>
      </c>
      <c r="M223" s="116">
        <v>0</v>
      </c>
      <c r="N223" s="116">
        <v>0</v>
      </c>
      <c r="O223" s="116">
        <v>0</v>
      </c>
      <c r="P223" s="116">
        <v>0</v>
      </c>
      <c r="Q223" s="116">
        <v>0</v>
      </c>
      <c r="R223" s="116">
        <v>0</v>
      </c>
      <c r="S223" s="116">
        <v>0</v>
      </c>
      <c r="T223" s="116">
        <v>0</v>
      </c>
      <c r="U223" s="116">
        <v>0</v>
      </c>
      <c r="V223" s="116">
        <v>0</v>
      </c>
      <c r="W223" s="116">
        <v>0</v>
      </c>
      <c r="X223" s="116">
        <v>0</v>
      </c>
      <c r="Y223" s="116">
        <v>0</v>
      </c>
      <c r="Z223" s="116">
        <v>0</v>
      </c>
      <c r="AA223" s="116">
        <v>0</v>
      </c>
      <c r="AB223" s="116">
        <v>0</v>
      </c>
    </row>
    <row r="224" spans="1:28" x14ac:dyDescent="0.25">
      <c r="A224" s="93">
        <v>221</v>
      </c>
      <c r="D224" s="114" t="s">
        <v>15</v>
      </c>
      <c r="E224" s="114" t="s">
        <v>0</v>
      </c>
      <c r="F224" s="116">
        <f>SUM(F225:F227)</f>
        <v>839.49086520491153</v>
      </c>
      <c r="G224" s="116">
        <f t="shared" ref="G224:W224" si="228">SUM(G225:G227)</f>
        <v>-59.735955911727757</v>
      </c>
      <c r="H224" s="116">
        <f t="shared" si="228"/>
        <v>1114.5829526084249</v>
      </c>
      <c r="I224" s="116">
        <f t="shared" si="228"/>
        <v>321.37652038886415</v>
      </c>
      <c r="J224" s="116">
        <f t="shared" si="228"/>
        <v>1141.9241504407323</v>
      </c>
      <c r="K224" s="116">
        <f t="shared" si="228"/>
        <v>2472.0160762724454</v>
      </c>
      <c r="L224" s="116">
        <f t="shared" si="228"/>
        <v>3006.7893020419174</v>
      </c>
      <c r="M224" s="116">
        <f t="shared" si="228"/>
        <v>1730.5627000489851</v>
      </c>
      <c r="N224" s="116">
        <f t="shared" si="228"/>
        <v>1241.4949755574742</v>
      </c>
      <c r="O224" s="116">
        <f t="shared" si="228"/>
        <v>1487.0951686399703</v>
      </c>
      <c r="P224" s="116">
        <f t="shared" si="228"/>
        <v>147.97417654681999</v>
      </c>
      <c r="Q224" s="116">
        <f t="shared" si="228"/>
        <v>-949.06326531363743</v>
      </c>
      <c r="R224" s="116">
        <f t="shared" si="228"/>
        <v>-481.52526116147135</v>
      </c>
      <c r="S224" s="116">
        <f t="shared" si="228"/>
        <v>571.2397643934504</v>
      </c>
      <c r="T224" s="116">
        <f t="shared" si="228"/>
        <v>1151.6455774810315</v>
      </c>
      <c r="U224" s="116">
        <f t="shared" si="228"/>
        <v>26.712188385781928</v>
      </c>
      <c r="V224" s="116">
        <f t="shared" si="228"/>
        <v>898.54254280852365</v>
      </c>
      <c r="W224" s="116">
        <f t="shared" si="228"/>
        <v>2216.0167583175639</v>
      </c>
      <c r="X224" s="116">
        <f t="shared" ref="X224:Y224" si="229">SUM(X225:X227)</f>
        <v>3402.4747191208412</v>
      </c>
      <c r="Y224" s="116">
        <f t="shared" si="229"/>
        <v>3364.9568462530324</v>
      </c>
      <c r="Z224" s="116">
        <f t="shared" ref="Z224:AA224" si="230">SUM(Z225:Z227)</f>
        <v>3097.0582935936645</v>
      </c>
      <c r="AA224" s="116">
        <f t="shared" si="230"/>
        <v>3971.4958450811823</v>
      </c>
      <c r="AB224" s="116">
        <f t="shared" ref="AB224" si="231">SUM(AB225:AB227)</f>
        <v>4029.6166016766219</v>
      </c>
    </row>
    <row r="225" spans="1:57" x14ac:dyDescent="0.25">
      <c r="A225" s="93">
        <v>222</v>
      </c>
      <c r="D225" s="117" t="s">
        <v>26</v>
      </c>
      <c r="E225" s="117" t="s">
        <v>25</v>
      </c>
      <c r="F225" s="118">
        <v>608.01043986266382</v>
      </c>
      <c r="G225" s="118">
        <v>208.7086094625574</v>
      </c>
      <c r="H225" s="118">
        <v>946.04876001181344</v>
      </c>
      <c r="I225" s="118">
        <v>512.55629347527793</v>
      </c>
      <c r="J225" s="118">
        <v>982.46246484301071</v>
      </c>
      <c r="K225" s="118">
        <v>2070.7585222584503</v>
      </c>
      <c r="L225" s="118">
        <v>2310.2802721949524</v>
      </c>
      <c r="M225" s="118">
        <v>1396.8224870487065</v>
      </c>
      <c r="N225" s="118">
        <v>953.64844838212844</v>
      </c>
      <c r="O225" s="118">
        <v>900.77190159250756</v>
      </c>
      <c r="P225" s="118">
        <v>-256.156894348158</v>
      </c>
      <c r="Q225" s="118">
        <v>-776.0469765536368</v>
      </c>
      <c r="R225" s="118">
        <v>-483.30329072594185</v>
      </c>
      <c r="S225" s="118">
        <v>663.07148439345099</v>
      </c>
      <c r="T225" s="118">
        <v>1183.6639925556051</v>
      </c>
      <c r="U225" s="118">
        <v>395.06126301098345</v>
      </c>
      <c r="V225" s="118">
        <v>1154.895063808523</v>
      </c>
      <c r="W225" s="118">
        <v>2101.7933433175644</v>
      </c>
      <c r="X225" s="118">
        <v>2745.1989101208405</v>
      </c>
      <c r="Y225" s="118">
        <v>3094.8646754804281</v>
      </c>
      <c r="Z225" s="118">
        <v>2985.3895205344265</v>
      </c>
      <c r="AA225" s="118">
        <v>3495.2572390236364</v>
      </c>
      <c r="AB225" s="118">
        <v>3209.1103845366401</v>
      </c>
    </row>
    <row r="226" spans="1:57" x14ac:dyDescent="0.25">
      <c r="A226" s="93">
        <v>223</v>
      </c>
      <c r="D226" s="117" t="s">
        <v>16</v>
      </c>
      <c r="E226" s="117" t="s">
        <v>27</v>
      </c>
      <c r="F226" s="118">
        <v>231.46987944224765</v>
      </c>
      <c r="G226" s="118">
        <v>-268.40712509428516</v>
      </c>
      <c r="H226" s="118">
        <v>168.42663039661136</v>
      </c>
      <c r="I226" s="118">
        <v>-191.11261026641375</v>
      </c>
      <c r="J226" s="118">
        <v>159.48668559772159</v>
      </c>
      <c r="K226" s="118">
        <v>401.27255401399486</v>
      </c>
      <c r="L226" s="118">
        <v>696.52402984696505</v>
      </c>
      <c r="M226" s="118">
        <v>333.60521300027864</v>
      </c>
      <c r="N226" s="118">
        <v>287.88027717534578</v>
      </c>
      <c r="O226" s="118">
        <v>586.3570170474627</v>
      </c>
      <c r="P226" s="118">
        <v>404.16482089497799</v>
      </c>
      <c r="Q226" s="118">
        <v>-172.99753876000068</v>
      </c>
      <c r="R226" s="118">
        <v>1.8530295644704893</v>
      </c>
      <c r="S226" s="118">
        <v>-91.831720000000587</v>
      </c>
      <c r="T226" s="118">
        <v>-32.018415074573454</v>
      </c>
      <c r="U226" s="118">
        <v>-368.34907462520152</v>
      </c>
      <c r="V226" s="118">
        <v>-256.35252099999934</v>
      </c>
      <c r="W226" s="118">
        <v>114.22341499999948</v>
      </c>
      <c r="X226" s="118">
        <v>657.27580900000066</v>
      </c>
      <c r="Y226" s="118">
        <v>270.09217077260428</v>
      </c>
      <c r="Z226" s="118">
        <v>111.66877305923781</v>
      </c>
      <c r="AA226" s="118">
        <v>476.23860605754589</v>
      </c>
      <c r="AB226" s="118">
        <v>820.5062171399818</v>
      </c>
    </row>
    <row r="227" spans="1:57" x14ac:dyDescent="0.25">
      <c r="A227" s="93">
        <v>224</v>
      </c>
      <c r="D227" s="117" t="s">
        <v>36</v>
      </c>
      <c r="E227" s="117" t="s">
        <v>28</v>
      </c>
      <c r="F227" s="118">
        <v>1.0545899999999997E-2</v>
      </c>
      <c r="G227" s="118">
        <v>-3.7440280000000006E-2</v>
      </c>
      <c r="H227" s="118">
        <v>0.10756220000000001</v>
      </c>
      <c r="I227" s="118">
        <v>-6.7162819999999998E-2</v>
      </c>
      <c r="J227" s="118">
        <v>-2.5000000000000008E-2</v>
      </c>
      <c r="K227" s="118">
        <v>-1.4999999999999999E-2</v>
      </c>
      <c r="L227" s="118">
        <v>-1.4999999999999999E-2</v>
      </c>
      <c r="M227" s="118">
        <v>0.13500000000000001</v>
      </c>
      <c r="N227" s="118">
        <v>-3.3750000000000002E-2</v>
      </c>
      <c r="O227" s="118">
        <v>-3.3750000000000002E-2</v>
      </c>
      <c r="P227" s="118">
        <v>-3.3750000000000002E-2</v>
      </c>
      <c r="Q227" s="118">
        <v>-1.8750000000000003E-2</v>
      </c>
      <c r="R227" s="118">
        <v>-7.4999999999999997E-2</v>
      </c>
      <c r="S227" s="118">
        <v>0</v>
      </c>
      <c r="T227" s="118">
        <v>0</v>
      </c>
      <c r="U227" s="118">
        <v>0</v>
      </c>
      <c r="V227" s="118">
        <v>0</v>
      </c>
      <c r="W227" s="118">
        <v>0</v>
      </c>
      <c r="X227" s="118">
        <v>0</v>
      </c>
      <c r="Y227" s="118">
        <v>0</v>
      </c>
      <c r="Z227" s="118">
        <v>0</v>
      </c>
      <c r="AA227" s="118">
        <v>0</v>
      </c>
      <c r="AB227" s="118">
        <v>0</v>
      </c>
    </row>
    <row r="228" spans="1:57" x14ac:dyDescent="0.25">
      <c r="A228" s="93">
        <v>225</v>
      </c>
      <c r="D228" s="114" t="s">
        <v>1</v>
      </c>
      <c r="E228" s="114" t="s">
        <v>29</v>
      </c>
      <c r="F228" s="116">
        <v>0</v>
      </c>
      <c r="G228" s="116">
        <v>0</v>
      </c>
      <c r="H228" s="116">
        <v>0</v>
      </c>
      <c r="I228" s="116">
        <v>0</v>
      </c>
      <c r="J228" s="116">
        <v>0</v>
      </c>
      <c r="K228" s="116">
        <v>0</v>
      </c>
      <c r="L228" s="116">
        <v>0</v>
      </c>
      <c r="M228" s="116">
        <v>0</v>
      </c>
      <c r="N228" s="116">
        <v>0</v>
      </c>
      <c r="O228" s="116">
        <v>0</v>
      </c>
      <c r="P228" s="116">
        <v>0</v>
      </c>
      <c r="Q228" s="116">
        <v>0</v>
      </c>
      <c r="R228" s="116">
        <v>0</v>
      </c>
      <c r="S228" s="116">
        <v>0</v>
      </c>
      <c r="T228" s="116">
        <v>0</v>
      </c>
      <c r="U228" s="116">
        <v>0</v>
      </c>
      <c r="V228" s="116">
        <v>0</v>
      </c>
      <c r="W228" s="116">
        <v>0</v>
      </c>
      <c r="X228" s="116">
        <v>0</v>
      </c>
      <c r="Y228" s="116">
        <v>0</v>
      </c>
      <c r="Z228" s="116">
        <v>0</v>
      </c>
      <c r="AA228" s="116">
        <v>0</v>
      </c>
      <c r="AB228" s="116">
        <v>0</v>
      </c>
    </row>
    <row r="229" spans="1:57" x14ac:dyDescent="0.25">
      <c r="A229" s="93">
        <v>226</v>
      </c>
      <c r="D229" s="114" t="s">
        <v>30</v>
      </c>
      <c r="E229" s="114" t="s">
        <v>31</v>
      </c>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row>
    <row r="230" spans="1:57" ht="15.75" x14ac:dyDescent="0.25">
      <c r="A230" s="93">
        <v>227</v>
      </c>
      <c r="D230" s="112" t="s">
        <v>19</v>
      </c>
      <c r="E230" s="112" t="s">
        <v>22</v>
      </c>
      <c r="F230" s="113">
        <v>20.22863901098901</v>
      </c>
      <c r="G230" s="113">
        <v>34.103449318681328</v>
      </c>
      <c r="H230" s="113">
        <v>29.070120815217393</v>
      </c>
      <c r="I230" s="113">
        <v>28.096715304347828</v>
      </c>
      <c r="J230" s="113">
        <v>29.737119666666665</v>
      </c>
      <c r="K230" s="113">
        <v>34.762628571428536</v>
      </c>
      <c r="L230" s="113">
        <v>47.893192739130463</v>
      </c>
      <c r="M230" s="113">
        <v>30.62460900000001</v>
      </c>
      <c r="N230" s="113">
        <v>3.7998249333333352</v>
      </c>
      <c r="O230" s="113">
        <v>13.743078670329677</v>
      </c>
      <c r="P230" s="113">
        <v>23.957395739130426</v>
      </c>
      <c r="Q230" s="113">
        <v>20.70798913043479</v>
      </c>
      <c r="R230" s="113">
        <v>18.575513167732346</v>
      </c>
      <c r="S230" s="113">
        <v>21.153845011679465</v>
      </c>
      <c r="T230" s="113">
        <v>17.161662954322285</v>
      </c>
      <c r="U230" s="113">
        <v>43.400937027234548</v>
      </c>
      <c r="V230" s="113">
        <v>24.33239274454991</v>
      </c>
      <c r="W230" s="113">
        <v>16.315657163585502</v>
      </c>
      <c r="X230" s="113">
        <v>16.989307915414884</v>
      </c>
      <c r="Y230" s="113">
        <v>9.1583139452970794</v>
      </c>
      <c r="Z230" s="113">
        <v>56.242175006463775</v>
      </c>
      <c r="AA230" s="113">
        <v>15.599953727803818</v>
      </c>
      <c r="AB230" s="113">
        <v>37.91886458950966</v>
      </c>
    </row>
    <row r="231" spans="1:57" ht="9" customHeight="1" x14ac:dyDescent="0.25">
      <c r="A231" s="93">
        <v>228</v>
      </c>
      <c r="D231" s="119"/>
      <c r="E231" s="119"/>
      <c r="F231" s="120">
        <v>0</v>
      </c>
      <c r="G231" s="120">
        <v>0</v>
      </c>
      <c r="H231" s="120">
        <v>0</v>
      </c>
      <c r="I231" s="120">
        <v>0</v>
      </c>
      <c r="J231" s="120">
        <v>0</v>
      </c>
      <c r="K231" s="120">
        <v>0</v>
      </c>
      <c r="L231" s="120">
        <v>0</v>
      </c>
      <c r="M231" s="120">
        <v>0</v>
      </c>
      <c r="N231" s="120">
        <v>0</v>
      </c>
      <c r="O231" s="120">
        <v>0</v>
      </c>
      <c r="P231" s="120">
        <v>0</v>
      </c>
      <c r="Q231" s="120">
        <v>0</v>
      </c>
      <c r="R231" s="120">
        <v>0</v>
      </c>
      <c r="S231" s="120">
        <v>0</v>
      </c>
      <c r="T231" s="120">
        <v>0</v>
      </c>
      <c r="U231" s="120">
        <v>0</v>
      </c>
      <c r="V231" s="120">
        <v>0</v>
      </c>
      <c r="W231" s="120">
        <v>0</v>
      </c>
      <c r="X231" s="120">
        <v>0</v>
      </c>
      <c r="Y231" s="120">
        <v>0</v>
      </c>
      <c r="Z231" s="120">
        <v>0</v>
      </c>
      <c r="AA231" s="120">
        <v>0</v>
      </c>
      <c r="AB231" s="120">
        <v>0</v>
      </c>
    </row>
    <row r="232" spans="1:57" s="109" customFormat="1" x14ac:dyDescent="0.25">
      <c r="A232" s="93"/>
      <c r="B232" s="48"/>
      <c r="C232" s="48"/>
      <c r="D232" s="48"/>
      <c r="E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row>
    <row r="233" spans="1:57" s="109" customFormat="1" x14ac:dyDescent="0.25">
      <c r="A233" s="93"/>
      <c r="B233" s="48"/>
      <c r="C233" s="48"/>
      <c r="D233" s="48"/>
      <c r="E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c r="BE233" s="48"/>
    </row>
    <row r="234" spans="1:57" s="109" customFormat="1" hidden="1" x14ac:dyDescent="0.25">
      <c r="A234" s="93"/>
      <c r="B234" s="48"/>
      <c r="C234" s="48"/>
      <c r="D234" s="48"/>
      <c r="E234" s="48"/>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c r="BA234" s="48"/>
      <c r="BB234" s="48"/>
      <c r="BC234" s="48"/>
      <c r="BD234" s="48"/>
      <c r="BE234" s="48"/>
    </row>
    <row r="235" spans="1:57" s="109" customFormat="1" hidden="1" x14ac:dyDescent="0.25">
      <c r="A235" s="93"/>
      <c r="B235" s="48"/>
      <c r="C235" s="48"/>
      <c r="D235" s="48"/>
      <c r="E235" s="48"/>
      <c r="AC235" s="48"/>
      <c r="AD235" s="48"/>
      <c r="AE235" s="48"/>
      <c r="AF235" s="48"/>
      <c r="AG235" s="48"/>
      <c r="AH235" s="48"/>
      <c r="AI235" s="48"/>
      <c r="AJ235" s="48"/>
      <c r="AK235" s="48"/>
      <c r="AL235" s="48"/>
      <c r="AM235" s="48"/>
      <c r="AN235" s="48"/>
      <c r="AO235" s="48"/>
      <c r="AP235" s="48"/>
      <c r="AQ235" s="48"/>
      <c r="AR235" s="48"/>
      <c r="AS235" s="48"/>
      <c r="AT235" s="48"/>
      <c r="AU235" s="48"/>
      <c r="AV235" s="48"/>
      <c r="AW235" s="48"/>
      <c r="AX235" s="48"/>
      <c r="AY235" s="48"/>
      <c r="AZ235" s="48"/>
      <c r="BA235" s="48"/>
      <c r="BB235" s="48"/>
      <c r="BC235" s="48"/>
      <c r="BD235" s="48"/>
      <c r="BE235" s="48"/>
    </row>
    <row r="236" spans="1:57" s="109" customFormat="1" hidden="1" x14ac:dyDescent="0.25">
      <c r="A236" s="93"/>
      <c r="B236" s="48"/>
      <c r="C236" s="48"/>
      <c r="D236" s="48"/>
      <c r="E236" s="48"/>
      <c r="AC236" s="48"/>
      <c r="AD236" s="48"/>
      <c r="AE236" s="48"/>
      <c r="AF236" s="48"/>
      <c r="AG236" s="48"/>
      <c r="AH236" s="48"/>
      <c r="AI236" s="48"/>
      <c r="AJ236" s="48"/>
      <c r="AK236" s="48"/>
      <c r="AL236" s="48"/>
      <c r="AM236" s="48"/>
      <c r="AN236" s="48"/>
      <c r="AO236" s="48"/>
      <c r="AP236" s="48"/>
      <c r="AQ236" s="48"/>
      <c r="AR236" s="48"/>
      <c r="AS236" s="48"/>
      <c r="AT236" s="48"/>
      <c r="AU236" s="48"/>
      <c r="AV236" s="48"/>
      <c r="AW236" s="48"/>
      <c r="AX236" s="48"/>
      <c r="AY236" s="48"/>
      <c r="AZ236" s="48"/>
      <c r="BA236" s="48"/>
      <c r="BB236" s="48"/>
      <c r="BC236" s="48"/>
      <c r="BD236" s="48"/>
      <c r="BE236" s="48"/>
    </row>
    <row r="237" spans="1:57" s="109" customFormat="1" hidden="1" x14ac:dyDescent="0.25">
      <c r="A237" s="93"/>
      <c r="B237" s="48"/>
      <c r="C237" s="48"/>
      <c r="D237" s="48"/>
      <c r="E237" s="48"/>
      <c r="AC237" s="48"/>
      <c r="AD237" s="48"/>
      <c r="AE237" s="48"/>
      <c r="AF237" s="48"/>
      <c r="AG237" s="48"/>
      <c r="AH237" s="48"/>
      <c r="AI237" s="48"/>
      <c r="AJ237" s="48"/>
      <c r="AK237" s="48"/>
      <c r="AL237" s="48"/>
      <c r="AM237" s="48"/>
      <c r="AN237" s="48"/>
      <c r="AO237" s="48"/>
      <c r="AP237" s="48"/>
      <c r="AQ237" s="48"/>
      <c r="AR237" s="48"/>
      <c r="AS237" s="48"/>
      <c r="AT237" s="48"/>
      <c r="AU237" s="48"/>
      <c r="AV237" s="48"/>
      <c r="AW237" s="48"/>
      <c r="AX237" s="48"/>
      <c r="AY237" s="48"/>
      <c r="AZ237" s="48"/>
      <c r="BA237" s="48"/>
      <c r="BB237" s="48"/>
      <c r="BC237" s="48"/>
      <c r="BD237" s="48"/>
      <c r="BE237" s="48"/>
    </row>
  </sheetData>
  <conditionalFormatting sqref="F16:AB16">
    <cfRule type="cellIs" dxfId="16" priority="24" operator="notEqual">
      <formula>0</formula>
    </cfRule>
  </conditionalFormatting>
  <conditionalFormatting sqref="F27:AB27">
    <cfRule type="cellIs" dxfId="15" priority="23" operator="notEqual">
      <formula>0</formula>
    </cfRule>
  </conditionalFormatting>
  <conditionalFormatting sqref="F38:AB38">
    <cfRule type="cellIs" dxfId="14" priority="22" operator="notEqual">
      <formula>0</formula>
    </cfRule>
  </conditionalFormatting>
  <conditionalFormatting sqref="F50:AB50">
    <cfRule type="cellIs" dxfId="13" priority="21" operator="notEqual">
      <formula>0</formula>
    </cfRule>
  </conditionalFormatting>
  <conditionalFormatting sqref="F61:AB61">
    <cfRule type="cellIs" dxfId="12" priority="20" operator="notEqual">
      <formula>0</formula>
    </cfRule>
  </conditionalFormatting>
  <conditionalFormatting sqref="F72:AB72">
    <cfRule type="cellIs" dxfId="11" priority="19" operator="notEqual">
      <formula>0</formula>
    </cfRule>
  </conditionalFormatting>
  <conditionalFormatting sqref="F83:AB83 F128:AB128 F162:AB162 F196:AB196">
    <cfRule type="cellIs" dxfId="10" priority="18" operator="notEqual">
      <formula>0</formula>
    </cfRule>
  </conditionalFormatting>
  <conditionalFormatting sqref="F95:AB95">
    <cfRule type="cellIs" dxfId="9" priority="9" operator="notEqual">
      <formula>0</formula>
    </cfRule>
  </conditionalFormatting>
  <conditionalFormatting sqref="F106:AB106">
    <cfRule type="cellIs" dxfId="8" priority="8" operator="notEqual">
      <formula>0</formula>
    </cfRule>
  </conditionalFormatting>
  <conditionalFormatting sqref="F117:AB117">
    <cfRule type="cellIs" dxfId="7" priority="7" operator="notEqual">
      <formula>0</formula>
    </cfRule>
  </conditionalFormatting>
  <conditionalFormatting sqref="F140:AB140">
    <cfRule type="cellIs" dxfId="6" priority="5" operator="notEqual">
      <formula>0</formula>
    </cfRule>
  </conditionalFormatting>
  <conditionalFormatting sqref="F151:AB151">
    <cfRule type="cellIs" dxfId="5" priority="4" operator="notEqual">
      <formula>0</formula>
    </cfRule>
  </conditionalFormatting>
  <conditionalFormatting sqref="F174:AB174">
    <cfRule type="cellIs" dxfId="4" priority="2" operator="notEqual">
      <formula>0</formula>
    </cfRule>
  </conditionalFormatting>
  <conditionalFormatting sqref="F185:AB185">
    <cfRule type="cellIs" dxfId="3" priority="1" operator="notEqual">
      <formula>0</formula>
    </cfRule>
  </conditionalFormatting>
  <conditionalFormatting sqref="F208:AB208">
    <cfRule type="cellIs" dxfId="2" priority="16" operator="notEqual">
      <formula>0</formula>
    </cfRule>
  </conditionalFormatting>
  <conditionalFormatting sqref="F219:AB219">
    <cfRule type="cellIs" dxfId="1" priority="15" operator="notEqual">
      <formula>0</formula>
    </cfRule>
  </conditionalFormatting>
  <conditionalFormatting sqref="F231:AB231">
    <cfRule type="cellIs" dxfId="0" priority="11" operator="notEqual">
      <formula>0</formula>
    </cfRule>
  </conditionalFormatting>
  <pageMargins left="0.7" right="0.7" top="0.75" bottom="0.75" header="0.3" footer="0.3"/>
  <pageSetup paperSize="8" scale="24"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6067-A38F-40B1-B129-3DD8A8756D79}">
  <sheetPr codeName="Sheet6"/>
  <dimension ref="A1:E24"/>
  <sheetViews>
    <sheetView showGridLines="0" workbookViewId="0">
      <selection activeCell="A24" sqref="A24"/>
    </sheetView>
  </sheetViews>
  <sheetFormatPr defaultRowHeight="15" x14ac:dyDescent="0.25"/>
  <cols>
    <col min="1" max="1" customWidth="true" width="15.28515625" collapsed="false"/>
  </cols>
  <sheetData>
    <row r="1" spans="1:5" x14ac:dyDescent="0.25">
      <c r="A1" t="s">
        <v>56</v>
      </c>
    </row>
    <row r="2" spans="1:5" x14ac:dyDescent="0.25">
      <c r="A2" s="2" t="s">
        <v>40</v>
      </c>
    </row>
    <row r="3" spans="1:5" x14ac:dyDescent="0.25">
      <c r="A3" s="2" t="s">
        <v>41</v>
      </c>
    </row>
    <row r="4" spans="1:5" x14ac:dyDescent="0.25">
      <c r="A4" s="2" t="s">
        <v>42</v>
      </c>
    </row>
    <row r="5" spans="1:5" x14ac:dyDescent="0.25">
      <c r="A5" s="2" t="s">
        <v>43</v>
      </c>
    </row>
    <row r="6" spans="1:5" x14ac:dyDescent="0.25">
      <c r="A6" s="2" t="s">
        <v>44</v>
      </c>
    </row>
    <row r="7" spans="1:5" x14ac:dyDescent="0.25">
      <c r="A7" s="2" t="s">
        <v>45</v>
      </c>
    </row>
    <row r="8" spans="1:5" x14ac:dyDescent="0.25">
      <c r="A8" s="2" t="s">
        <v>46</v>
      </c>
    </row>
    <row r="9" spans="1:5" x14ac:dyDescent="0.25">
      <c r="A9" s="2" t="s">
        <v>47</v>
      </c>
    </row>
    <row r="10" spans="1:5" x14ac:dyDescent="0.25">
      <c r="A10" s="2" t="s">
        <v>48</v>
      </c>
    </row>
    <row r="11" spans="1:5" x14ac:dyDescent="0.25">
      <c r="A11" s="2" t="s">
        <v>49</v>
      </c>
      <c r="E11" t="s">
        <v>57</v>
      </c>
    </row>
    <row r="12" spans="1:5" x14ac:dyDescent="0.25">
      <c r="A12" s="2" t="s">
        <v>50</v>
      </c>
    </row>
    <row r="13" spans="1:5" x14ac:dyDescent="0.25">
      <c r="A13" s="2" t="s">
        <v>51</v>
      </c>
    </row>
    <row r="14" spans="1:5" x14ac:dyDescent="0.25">
      <c r="A14" s="2" t="s">
        <v>52</v>
      </c>
    </row>
    <row r="15" spans="1:5" x14ac:dyDescent="0.25">
      <c r="A15" s="2" t="s">
        <v>53</v>
      </c>
    </row>
    <row r="16" spans="1:5" x14ac:dyDescent="0.25">
      <c r="A16" s="2" t="s">
        <v>54</v>
      </c>
    </row>
    <row r="17" spans="1:1" x14ac:dyDescent="0.25">
      <c r="A17" s="2" t="s">
        <v>55</v>
      </c>
    </row>
    <row r="18" spans="1:1" x14ac:dyDescent="0.25">
      <c r="A18" s="2" t="s">
        <v>61</v>
      </c>
    </row>
    <row r="19" spans="1:1" x14ac:dyDescent="0.25">
      <c r="A19" s="2" t="s">
        <v>62</v>
      </c>
    </row>
    <row r="20" spans="1:1" x14ac:dyDescent="0.25">
      <c r="A20" s="2" t="s">
        <v>76</v>
      </c>
    </row>
    <row r="21" spans="1:1" x14ac:dyDescent="0.25">
      <c r="A21" s="2" t="s">
        <v>77</v>
      </c>
    </row>
    <row r="22" spans="1:1" x14ac:dyDescent="0.25">
      <c r="A22" s="2" t="s">
        <v>78</v>
      </c>
    </row>
    <row r="23" spans="1:1" x14ac:dyDescent="0.25">
      <c r="A23" s="2" t="s">
        <v>80</v>
      </c>
    </row>
    <row r="24" spans="1:1" x14ac:dyDescent="0.25">
      <c r="A24" s="2" t="s">
        <v>81</v>
      </c>
    </row>
  </sheetData>
  <phoneticPr fontId="17" type="noConversion"/>
  <pageMargins left="0.7" right="0.7" top="0.75" bottom="0.75" header="0.3" footer="0.3"/>
  <pageSetup paperSize="9" orientation="portrait" horizontalDpi="300" verticalDpi="300" r:id="rId1"/>
  <tableParts count="1">
    <tablePart r:id="rId2"/>
  </tablePart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14093617-ae47-4fd8-a85a-588ced94f3f6</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3CC4562E-9E1F-43A6-9F81-CA9CE6FA742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Coperta</vt:lpstr>
      <vt:lpstr>nota explicativă</vt:lpstr>
      <vt:lpstr>matricele</vt:lpstr>
      <vt:lpstr>seriile dinamice active</vt:lpstr>
      <vt:lpstr>seriile dinamice pasive </vt:lpstr>
      <vt:lpstr>index list</vt:lpstr>
      <vt:lpstr>tr.III_2025</vt:lpstr>
    </vt:vector>
  </TitlesOfParts>
  <Company>Banca Nationala a Moldovei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2024-11-28T20:57:59Z</dcterms:created>
  <cp:lastPrinted>2026-03-10T07:40:05Z</cp:lastPrinted>
  <dcterms:modified xsi:type="dcterms:W3CDTF">2026-04-03T14:13:37Z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14093617-ae47-4fd8-a85a-588ced94f3f6</vt:lpwstr>
  </property>
  <property fmtid="{D5CDD505-2E9C-101B-9397-08002B2CF9AE}" pid="3" name="Clasificare">
    <vt:lpwstr>NONE</vt:lpwstr>
  </property>
  <property fmtid="{D5CDD505-2E9C-101B-9397-08002B2CF9AE}" pid="4" name="MSIP_Label_38962dcf-d39f-4edc-a396-338a56ba9170_Enabled">
    <vt:lpwstr>true</vt:lpwstr>
  </property>
  <property fmtid="{D5CDD505-2E9C-101B-9397-08002B2CF9AE}" pid="5" name="MSIP_Label_38962dcf-d39f-4edc-a396-338a56ba9170_SetDate">
    <vt:lpwstr>2024-11-28T21:08:27Z</vt:lpwstr>
  </property>
  <property fmtid="{D5CDD505-2E9C-101B-9397-08002B2CF9AE}" pid="6" name="MSIP_Label_38962dcf-d39f-4edc-a396-338a56ba9170_Method">
    <vt:lpwstr>Privileged</vt:lpwstr>
  </property>
  <property fmtid="{D5CDD505-2E9C-101B-9397-08002B2CF9AE}" pid="7" name="MSIP_Label_38962dcf-d39f-4edc-a396-338a56ba9170_Name">
    <vt:lpwstr>NONE</vt:lpwstr>
  </property>
  <property fmtid="{D5CDD505-2E9C-101B-9397-08002B2CF9AE}" pid="8" name="MSIP_Label_38962dcf-d39f-4edc-a396-338a56ba9170_SiteId">
    <vt:lpwstr>5887d430-0034-4561-b771-12c77faf2fa0</vt:lpwstr>
  </property>
  <property fmtid="{D5CDD505-2E9C-101B-9397-08002B2CF9AE}" pid="9" name="MSIP_Label_38962dcf-d39f-4edc-a396-338a56ba9170_ActionId">
    <vt:lpwstr>96e4c4b6-5a58-432c-80b5-7ff13c676722</vt:lpwstr>
  </property>
  <property fmtid="{D5CDD505-2E9C-101B-9397-08002B2CF9AE}" pid="10" name="MSIP_Label_38962dcf-d39f-4edc-a396-338a56ba9170_ContentBits">
    <vt:lpwstr>0</vt:lpwstr>
  </property>
</Properties>
</file>